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houn\Desktop\Zadní cesta\"/>
    </mc:Choice>
  </mc:AlternateContent>
  <xr:revisionPtr revIDLastSave="0" documentId="13_ncr:1_{7B7F57DE-D5AE-42D0-9D8A-78B335546C7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tavební rozpočet" sheetId="1" r:id="rId1"/>
    <sheet name="Krycí list rozpočtu" sheetId="2" r:id="rId2"/>
    <sheet name="VORN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J73" i="1"/>
  <c r="J72" i="1"/>
  <c r="I35" i="3" l="1"/>
  <c r="I36" i="3" s="1"/>
  <c r="I24" i="2" s="1"/>
  <c r="I26" i="3"/>
  <c r="I25" i="3"/>
  <c r="I24" i="3"/>
  <c r="I23" i="3"/>
  <c r="I22" i="3"/>
  <c r="I21" i="3"/>
  <c r="I27" i="3" s="1"/>
  <c r="I17" i="3"/>
  <c r="I16" i="3"/>
  <c r="I15" i="3"/>
  <c r="I18" i="3" s="1"/>
  <c r="I10" i="3"/>
  <c r="F10" i="3"/>
  <c r="C10" i="3"/>
  <c r="F8" i="3"/>
  <c r="C8" i="3"/>
  <c r="F6" i="3"/>
  <c r="C6" i="3"/>
  <c r="F4" i="3"/>
  <c r="C4" i="3"/>
  <c r="F2" i="3"/>
  <c r="C2" i="3"/>
  <c r="I19" i="2"/>
  <c r="I18" i="2"/>
  <c r="I17" i="2"/>
  <c r="I16" i="2"/>
  <c r="F16" i="2"/>
  <c r="I15" i="2"/>
  <c r="F15" i="2"/>
  <c r="I14" i="2"/>
  <c r="I22" i="2" s="1"/>
  <c r="F14" i="2"/>
  <c r="F22" i="2" s="1"/>
  <c r="I10" i="2"/>
  <c r="F10" i="2"/>
  <c r="C10" i="2"/>
  <c r="F8" i="2"/>
  <c r="C8" i="2"/>
  <c r="F6" i="2"/>
  <c r="C6" i="2"/>
  <c r="F4" i="2"/>
  <c r="C4" i="2"/>
  <c r="F2" i="2"/>
  <c r="C2" i="2"/>
  <c r="BJ67" i="1"/>
  <c r="BF67" i="1"/>
  <c r="BD67" i="1"/>
  <c r="AX67" i="1"/>
  <c r="AP67" i="1"/>
  <c r="BI67" i="1" s="1"/>
  <c r="AO67" i="1"/>
  <c r="AW67" i="1" s="1"/>
  <c r="AL67" i="1"/>
  <c r="AJ67" i="1"/>
  <c r="AH67" i="1"/>
  <c r="AG67" i="1"/>
  <c r="AF67" i="1"/>
  <c r="AE67" i="1"/>
  <c r="AD67" i="1"/>
  <c r="AC67" i="1"/>
  <c r="AB67" i="1"/>
  <c r="Z67" i="1"/>
  <c r="J67" i="1"/>
  <c r="AK67" i="1" s="1"/>
  <c r="I67" i="1"/>
  <c r="H67" i="1"/>
  <c r="BJ66" i="1"/>
  <c r="AH66" i="1" s="1"/>
  <c r="BF66" i="1"/>
  <c r="BD66" i="1"/>
  <c r="AX66" i="1"/>
  <c r="AW66" i="1"/>
  <c r="BC66" i="1" s="1"/>
  <c r="AV66" i="1"/>
  <c r="AP66" i="1"/>
  <c r="BI66" i="1" s="1"/>
  <c r="AO66" i="1"/>
  <c r="BH66" i="1" s="1"/>
  <c r="AL66" i="1"/>
  <c r="AK66" i="1"/>
  <c r="AJ66" i="1"/>
  <c r="AG66" i="1"/>
  <c r="AF66" i="1"/>
  <c r="AE66" i="1"/>
  <c r="AD66" i="1"/>
  <c r="AC66" i="1"/>
  <c r="AB66" i="1"/>
  <c r="Z66" i="1"/>
  <c r="J66" i="1"/>
  <c r="I66" i="1"/>
  <c r="H66" i="1"/>
  <c r="BJ65" i="1"/>
  <c r="BF65" i="1"/>
  <c r="BD65" i="1"/>
  <c r="AX65" i="1"/>
  <c r="AP65" i="1"/>
  <c r="BI65" i="1" s="1"/>
  <c r="AO65" i="1"/>
  <c r="AW65" i="1" s="1"/>
  <c r="AL65" i="1"/>
  <c r="AJ65" i="1"/>
  <c r="AH65" i="1"/>
  <c r="AG65" i="1"/>
  <c r="AF65" i="1"/>
  <c r="AE65" i="1"/>
  <c r="AD65" i="1"/>
  <c r="AC65" i="1"/>
  <c r="AB65" i="1"/>
  <c r="Z65" i="1"/>
  <c r="J65" i="1"/>
  <c r="AK65" i="1" s="1"/>
  <c r="I65" i="1"/>
  <c r="BJ64" i="1"/>
  <c r="BF64" i="1"/>
  <c r="BD64" i="1"/>
  <c r="AP64" i="1"/>
  <c r="AX64" i="1" s="1"/>
  <c r="AO64" i="1"/>
  <c r="AW64" i="1" s="1"/>
  <c r="AL64" i="1"/>
  <c r="AJ64" i="1"/>
  <c r="AH64" i="1"/>
  <c r="AG64" i="1"/>
  <c r="AF64" i="1"/>
  <c r="AE64" i="1"/>
  <c r="AD64" i="1"/>
  <c r="AC64" i="1"/>
  <c r="AB64" i="1"/>
  <c r="Z64" i="1"/>
  <c r="J64" i="1"/>
  <c r="AK64" i="1" s="1"/>
  <c r="BJ63" i="1"/>
  <c r="AH63" i="1" s="1"/>
  <c r="BF63" i="1"/>
  <c r="BD63" i="1"/>
  <c r="AP63" i="1"/>
  <c r="AX63" i="1" s="1"/>
  <c r="AO63" i="1"/>
  <c r="AW63" i="1" s="1"/>
  <c r="AL63" i="1"/>
  <c r="AK63" i="1"/>
  <c r="AJ63" i="1"/>
  <c r="AG63" i="1"/>
  <c r="AF63" i="1"/>
  <c r="AE63" i="1"/>
  <c r="AD63" i="1"/>
  <c r="AC63" i="1"/>
  <c r="AB63" i="1"/>
  <c r="Z63" i="1"/>
  <c r="J63" i="1"/>
  <c r="H63" i="1"/>
  <c r="BJ62" i="1"/>
  <c r="AH62" i="1" s="1"/>
  <c r="BF62" i="1"/>
  <c r="BD62" i="1"/>
  <c r="AW62" i="1"/>
  <c r="AP62" i="1"/>
  <c r="AX62" i="1" s="1"/>
  <c r="AV62" i="1" s="1"/>
  <c r="AO62" i="1"/>
  <c r="BH62" i="1" s="1"/>
  <c r="AL62" i="1"/>
  <c r="AK62" i="1"/>
  <c r="AJ62" i="1"/>
  <c r="AG62" i="1"/>
  <c r="AF62" i="1"/>
  <c r="AE62" i="1"/>
  <c r="AD62" i="1"/>
  <c r="AC62" i="1"/>
  <c r="AB62" i="1"/>
  <c r="Z62" i="1"/>
  <c r="J62" i="1"/>
  <c r="I62" i="1"/>
  <c r="H62" i="1"/>
  <c r="BJ61" i="1"/>
  <c r="BF61" i="1"/>
  <c r="BD61" i="1"/>
  <c r="AX61" i="1"/>
  <c r="AW61" i="1"/>
  <c r="BC61" i="1" s="1"/>
  <c r="AP61" i="1"/>
  <c r="BI61" i="1" s="1"/>
  <c r="AO61" i="1"/>
  <c r="BH61" i="1" s="1"/>
  <c r="AL61" i="1"/>
  <c r="AU60" i="1" s="1"/>
  <c r="AJ61" i="1"/>
  <c r="AH61" i="1"/>
  <c r="AG61" i="1"/>
  <c r="AF61" i="1"/>
  <c r="AE61" i="1"/>
  <c r="AD61" i="1"/>
  <c r="AC61" i="1"/>
  <c r="AB61" i="1"/>
  <c r="Z61" i="1"/>
  <c r="J61" i="1"/>
  <c r="AK61" i="1" s="1"/>
  <c r="AT60" i="1" s="1"/>
  <c r="I61" i="1"/>
  <c r="AS60" i="1"/>
  <c r="BJ59" i="1"/>
  <c r="Z59" i="1" s="1"/>
  <c r="BF59" i="1"/>
  <c r="BD59" i="1"/>
  <c r="AW59" i="1"/>
  <c r="BC59" i="1" s="1"/>
  <c r="AP59" i="1"/>
  <c r="AX59" i="1" s="1"/>
  <c r="AV59" i="1" s="1"/>
  <c r="AO59" i="1"/>
  <c r="BH59" i="1" s="1"/>
  <c r="AL59" i="1"/>
  <c r="AK59" i="1"/>
  <c r="AJ59" i="1"/>
  <c r="AH59" i="1"/>
  <c r="AG59" i="1"/>
  <c r="AF59" i="1"/>
  <c r="AE59" i="1"/>
  <c r="AD59" i="1"/>
  <c r="AC59" i="1"/>
  <c r="AB59" i="1"/>
  <c r="J59" i="1"/>
  <c r="I59" i="1"/>
  <c r="H59" i="1"/>
  <c r="BJ58" i="1"/>
  <c r="BF58" i="1"/>
  <c r="BD58" i="1"/>
  <c r="AX58" i="1"/>
  <c r="AW58" i="1"/>
  <c r="BC58" i="1" s="1"/>
  <c r="AP58" i="1"/>
  <c r="BI58" i="1" s="1"/>
  <c r="AO58" i="1"/>
  <c r="BH58" i="1" s="1"/>
  <c r="AL58" i="1"/>
  <c r="AU57" i="1" s="1"/>
  <c r="AJ58" i="1"/>
  <c r="AH58" i="1"/>
  <c r="AG58" i="1"/>
  <c r="AF58" i="1"/>
  <c r="AE58" i="1"/>
  <c r="AD58" i="1"/>
  <c r="AC58" i="1"/>
  <c r="AB58" i="1"/>
  <c r="Z58" i="1"/>
  <c r="J58" i="1"/>
  <c r="AK58" i="1" s="1"/>
  <c r="AT57" i="1" s="1"/>
  <c r="I58" i="1"/>
  <c r="I57" i="1" s="1"/>
  <c r="AS57" i="1"/>
  <c r="BJ56" i="1"/>
  <c r="BF56" i="1"/>
  <c r="BD56" i="1"/>
  <c r="AX56" i="1"/>
  <c r="AW56" i="1"/>
  <c r="BC56" i="1" s="1"/>
  <c r="AV56" i="1"/>
  <c r="AP56" i="1"/>
  <c r="BI56" i="1" s="1"/>
  <c r="AG56" i="1" s="1"/>
  <c r="AO56" i="1"/>
  <c r="BH56" i="1" s="1"/>
  <c r="AF56" i="1" s="1"/>
  <c r="AL56" i="1"/>
  <c r="AU55" i="1" s="1"/>
  <c r="AK56" i="1"/>
  <c r="AT55" i="1" s="1"/>
  <c r="AJ56" i="1"/>
  <c r="AH56" i="1"/>
  <c r="AE56" i="1"/>
  <c r="AD56" i="1"/>
  <c r="AC56" i="1"/>
  <c r="AB56" i="1"/>
  <c r="Z56" i="1"/>
  <c r="J56" i="1"/>
  <c r="I56" i="1"/>
  <c r="I55" i="1" s="1"/>
  <c r="H56" i="1"/>
  <c r="H55" i="1" s="1"/>
  <c r="AS55" i="1"/>
  <c r="J55" i="1"/>
  <c r="BJ54" i="1"/>
  <c r="BI54" i="1"/>
  <c r="AC54" i="1" s="1"/>
  <c r="BF54" i="1"/>
  <c r="BD54" i="1"/>
  <c r="AW54" i="1"/>
  <c r="AP54" i="1"/>
  <c r="AX54" i="1" s="1"/>
  <c r="AO54" i="1"/>
  <c r="BH54" i="1" s="1"/>
  <c r="AB54" i="1" s="1"/>
  <c r="AL54" i="1"/>
  <c r="AK54" i="1"/>
  <c r="AT53" i="1" s="1"/>
  <c r="AJ54" i="1"/>
  <c r="AS53" i="1" s="1"/>
  <c r="AH54" i="1"/>
  <c r="AG54" i="1"/>
  <c r="AF54" i="1"/>
  <c r="AE54" i="1"/>
  <c r="AD54" i="1"/>
  <c r="Z54" i="1"/>
  <c r="J54" i="1"/>
  <c r="H54" i="1"/>
  <c r="H53" i="1" s="1"/>
  <c r="AU53" i="1"/>
  <c r="J53" i="1"/>
  <c r="BJ52" i="1"/>
  <c r="BH52" i="1"/>
  <c r="AB52" i="1" s="1"/>
  <c r="BF52" i="1"/>
  <c r="BD52" i="1"/>
  <c r="AP52" i="1"/>
  <c r="AX52" i="1" s="1"/>
  <c r="AO52" i="1"/>
  <c r="AW52" i="1" s="1"/>
  <c r="AL52" i="1"/>
  <c r="AJ52" i="1"/>
  <c r="AH52" i="1"/>
  <c r="AG52" i="1"/>
  <c r="AF52" i="1"/>
  <c r="AE52" i="1"/>
  <c r="AD52" i="1"/>
  <c r="Z52" i="1"/>
  <c r="J52" i="1"/>
  <c r="AK52" i="1" s="1"/>
  <c r="BJ51" i="1"/>
  <c r="BF51" i="1"/>
  <c r="BD51" i="1"/>
  <c r="AP51" i="1"/>
  <c r="AX51" i="1" s="1"/>
  <c r="AO51" i="1"/>
  <c r="AW51" i="1" s="1"/>
  <c r="AL51" i="1"/>
  <c r="AK51" i="1"/>
  <c r="AJ51" i="1"/>
  <c r="AH51" i="1"/>
  <c r="AG51" i="1"/>
  <c r="AF51" i="1"/>
  <c r="AE51" i="1"/>
  <c r="AD51" i="1"/>
  <c r="Z51" i="1"/>
  <c r="J51" i="1"/>
  <c r="H51" i="1"/>
  <c r="BJ50" i="1"/>
  <c r="BF50" i="1"/>
  <c r="BD50" i="1"/>
  <c r="AW50" i="1"/>
  <c r="BC50" i="1" s="1"/>
  <c r="AP50" i="1"/>
  <c r="AX50" i="1" s="1"/>
  <c r="AV50" i="1" s="1"/>
  <c r="AO50" i="1"/>
  <c r="BH50" i="1" s="1"/>
  <c r="AB50" i="1" s="1"/>
  <c r="AL50" i="1"/>
  <c r="AK50" i="1"/>
  <c r="AJ50" i="1"/>
  <c r="AH50" i="1"/>
  <c r="AG50" i="1"/>
  <c r="AF50" i="1"/>
  <c r="AE50" i="1"/>
  <c r="AD50" i="1"/>
  <c r="Z50" i="1"/>
  <c r="J50" i="1"/>
  <c r="I50" i="1"/>
  <c r="H50" i="1"/>
  <c r="BJ49" i="1"/>
  <c r="BF49" i="1"/>
  <c r="BD49" i="1"/>
  <c r="AX49" i="1"/>
  <c r="AW49" i="1"/>
  <c r="BC49" i="1" s="1"/>
  <c r="AP49" i="1"/>
  <c r="BI49" i="1" s="1"/>
  <c r="AC49" i="1" s="1"/>
  <c r="AO49" i="1"/>
  <c r="BH49" i="1" s="1"/>
  <c r="AB49" i="1" s="1"/>
  <c r="AL49" i="1"/>
  <c r="AU47" i="1" s="1"/>
  <c r="AJ49" i="1"/>
  <c r="AH49" i="1"/>
  <c r="AG49" i="1"/>
  <c r="AF49" i="1"/>
  <c r="AE49" i="1"/>
  <c r="AD49" i="1"/>
  <c r="Z49" i="1"/>
  <c r="J49" i="1"/>
  <c r="AK49" i="1" s="1"/>
  <c r="I49" i="1"/>
  <c r="BJ48" i="1"/>
  <c r="BF48" i="1"/>
  <c r="BD48" i="1"/>
  <c r="AX48" i="1"/>
  <c r="AP48" i="1"/>
  <c r="BI48" i="1" s="1"/>
  <c r="AC48" i="1" s="1"/>
  <c r="AO48" i="1"/>
  <c r="H48" i="1" s="1"/>
  <c r="AL48" i="1"/>
  <c r="AJ48" i="1"/>
  <c r="AS47" i="1" s="1"/>
  <c r="AH48" i="1"/>
  <c r="AG48" i="1"/>
  <c r="AF48" i="1"/>
  <c r="AE48" i="1"/>
  <c r="AD48" i="1"/>
  <c r="Z48" i="1"/>
  <c r="J48" i="1"/>
  <c r="AK48" i="1" s="1"/>
  <c r="AT47" i="1" s="1"/>
  <c r="BJ46" i="1"/>
  <c r="BF46" i="1"/>
  <c r="BD46" i="1"/>
  <c r="AX46" i="1"/>
  <c r="AW46" i="1"/>
  <c r="BC46" i="1" s="1"/>
  <c r="AP46" i="1"/>
  <c r="BI46" i="1" s="1"/>
  <c r="AC46" i="1" s="1"/>
  <c r="AO46" i="1"/>
  <c r="BH46" i="1" s="1"/>
  <c r="AB46" i="1" s="1"/>
  <c r="AL46" i="1"/>
  <c r="AJ46" i="1"/>
  <c r="AH46" i="1"/>
  <c r="AG46" i="1"/>
  <c r="AF46" i="1"/>
  <c r="AE46" i="1"/>
  <c r="AD46" i="1"/>
  <c r="Z46" i="1"/>
  <c r="J46" i="1"/>
  <c r="AK46" i="1" s="1"/>
  <c r="I46" i="1"/>
  <c r="BJ45" i="1"/>
  <c r="BF45" i="1"/>
  <c r="BD45" i="1"/>
  <c r="AX45" i="1"/>
  <c r="AP45" i="1"/>
  <c r="BI45" i="1" s="1"/>
  <c r="AC45" i="1" s="1"/>
  <c r="AO45" i="1"/>
  <c r="H45" i="1" s="1"/>
  <c r="AL45" i="1"/>
  <c r="AJ45" i="1"/>
  <c r="AH45" i="1"/>
  <c r="AG45" i="1"/>
  <c r="AF45" i="1"/>
  <c r="AE45" i="1"/>
  <c r="AD45" i="1"/>
  <c r="Z45" i="1"/>
  <c r="J45" i="1"/>
  <c r="AK45" i="1" s="1"/>
  <c r="BJ44" i="1"/>
  <c r="BF44" i="1"/>
  <c r="BD44" i="1"/>
  <c r="AW44" i="1"/>
  <c r="AP44" i="1"/>
  <c r="I44" i="1" s="1"/>
  <c r="AO44" i="1"/>
  <c r="BH44" i="1" s="1"/>
  <c r="AB44" i="1" s="1"/>
  <c r="AL44" i="1"/>
  <c r="AK44" i="1"/>
  <c r="AT43" i="1" s="1"/>
  <c r="AJ44" i="1"/>
  <c r="AS43" i="1" s="1"/>
  <c r="AH44" i="1"/>
  <c r="AG44" i="1"/>
  <c r="AF44" i="1"/>
  <c r="AE44" i="1"/>
  <c r="AD44" i="1"/>
  <c r="Z44" i="1"/>
  <c r="J44" i="1"/>
  <c r="H44" i="1"/>
  <c r="AU43" i="1"/>
  <c r="BJ42" i="1"/>
  <c r="BF42" i="1"/>
  <c r="BD42" i="1"/>
  <c r="AX42" i="1"/>
  <c r="AP42" i="1"/>
  <c r="BI42" i="1" s="1"/>
  <c r="AC42" i="1" s="1"/>
  <c r="AO42" i="1"/>
  <c r="H42" i="1" s="1"/>
  <c r="H41" i="1" s="1"/>
  <c r="AL42" i="1"/>
  <c r="AJ42" i="1"/>
  <c r="AS41" i="1" s="1"/>
  <c r="AH42" i="1"/>
  <c r="AG42" i="1"/>
  <c r="AF42" i="1"/>
  <c r="AE42" i="1"/>
  <c r="AD42" i="1"/>
  <c r="Z42" i="1"/>
  <c r="J42" i="1"/>
  <c r="AK42" i="1" s="1"/>
  <c r="AT41" i="1" s="1"/>
  <c r="AU41" i="1"/>
  <c r="BJ40" i="1"/>
  <c r="BF40" i="1"/>
  <c r="BD40" i="1"/>
  <c r="AX40" i="1"/>
  <c r="AW40" i="1"/>
  <c r="BC40" i="1" s="1"/>
  <c r="AP40" i="1"/>
  <c r="BI40" i="1" s="1"/>
  <c r="AE40" i="1" s="1"/>
  <c r="AO40" i="1"/>
  <c r="BH40" i="1" s="1"/>
  <c r="AD40" i="1" s="1"/>
  <c r="AL40" i="1"/>
  <c r="AU39" i="1" s="1"/>
  <c r="AJ40" i="1"/>
  <c r="AH40" i="1"/>
  <c r="AG40" i="1"/>
  <c r="AF40" i="1"/>
  <c r="AC40" i="1"/>
  <c r="AB40" i="1"/>
  <c r="Z40" i="1"/>
  <c r="J40" i="1"/>
  <c r="AK40" i="1" s="1"/>
  <c r="AT39" i="1" s="1"/>
  <c r="I40" i="1"/>
  <c r="I39" i="1" s="1"/>
  <c r="AS39" i="1"/>
  <c r="BJ38" i="1"/>
  <c r="BF38" i="1"/>
  <c r="BD38" i="1"/>
  <c r="AX38" i="1"/>
  <c r="AW38" i="1"/>
  <c r="BC38" i="1" s="1"/>
  <c r="AV38" i="1"/>
  <c r="AP38" i="1"/>
  <c r="BI38" i="1" s="1"/>
  <c r="AC38" i="1" s="1"/>
  <c r="AO38" i="1"/>
  <c r="BH38" i="1" s="1"/>
  <c r="AB38" i="1" s="1"/>
  <c r="AL38" i="1"/>
  <c r="AK38" i="1"/>
  <c r="AJ38" i="1"/>
  <c r="AH38" i="1"/>
  <c r="AG38" i="1"/>
  <c r="AF38" i="1"/>
  <c r="AE38" i="1"/>
  <c r="AD38" i="1"/>
  <c r="Z38" i="1"/>
  <c r="J38" i="1"/>
  <c r="I38" i="1"/>
  <c r="H38" i="1"/>
  <c r="BJ37" i="1"/>
  <c r="BF37" i="1"/>
  <c r="BD37" i="1"/>
  <c r="AX37" i="1"/>
  <c r="AW37" i="1"/>
  <c r="BC37" i="1" s="1"/>
  <c r="AP37" i="1"/>
  <c r="BI37" i="1" s="1"/>
  <c r="AC37" i="1" s="1"/>
  <c r="AO37" i="1"/>
  <c r="BH37" i="1" s="1"/>
  <c r="AB37" i="1" s="1"/>
  <c r="AL37" i="1"/>
  <c r="AU36" i="1" s="1"/>
  <c r="AJ37" i="1"/>
  <c r="AH37" i="1"/>
  <c r="AG37" i="1"/>
  <c r="AF37" i="1"/>
  <c r="AE37" i="1"/>
  <c r="AD37" i="1"/>
  <c r="Z37" i="1"/>
  <c r="J37" i="1"/>
  <c r="AK37" i="1" s="1"/>
  <c r="AT36" i="1" s="1"/>
  <c r="I37" i="1"/>
  <c r="I36" i="1" s="1"/>
  <c r="AS36" i="1"/>
  <c r="BJ35" i="1"/>
  <c r="BF35" i="1"/>
  <c r="BD35" i="1"/>
  <c r="AX35" i="1"/>
  <c r="AW35" i="1"/>
  <c r="BC35" i="1" s="1"/>
  <c r="AV35" i="1"/>
  <c r="AP35" i="1"/>
  <c r="BI35" i="1" s="1"/>
  <c r="AC35" i="1" s="1"/>
  <c r="AO35" i="1"/>
  <c r="BH35" i="1" s="1"/>
  <c r="AB35" i="1" s="1"/>
  <c r="AL35" i="1"/>
  <c r="AK35" i="1"/>
  <c r="AJ35" i="1"/>
  <c r="AH35" i="1"/>
  <c r="AG35" i="1"/>
  <c r="AF35" i="1"/>
  <c r="AE35" i="1"/>
  <c r="AD35" i="1"/>
  <c r="Z35" i="1"/>
  <c r="J35" i="1"/>
  <c r="I35" i="1"/>
  <c r="H35" i="1"/>
  <c r="BJ34" i="1"/>
  <c r="BF34" i="1"/>
  <c r="BD34" i="1"/>
  <c r="AX34" i="1"/>
  <c r="AW34" i="1"/>
  <c r="BC34" i="1" s="1"/>
  <c r="AP34" i="1"/>
  <c r="BI34" i="1" s="1"/>
  <c r="AC34" i="1" s="1"/>
  <c r="AO34" i="1"/>
  <c r="BH34" i="1" s="1"/>
  <c r="AB34" i="1" s="1"/>
  <c r="AL34" i="1"/>
  <c r="AU32" i="1" s="1"/>
  <c r="AJ34" i="1"/>
  <c r="AH34" i="1"/>
  <c r="AG34" i="1"/>
  <c r="AF34" i="1"/>
  <c r="AE34" i="1"/>
  <c r="AD34" i="1"/>
  <c r="Z34" i="1"/>
  <c r="J34" i="1"/>
  <c r="AK34" i="1" s="1"/>
  <c r="I34" i="1"/>
  <c r="BJ33" i="1"/>
  <c r="BF33" i="1"/>
  <c r="BD33" i="1"/>
  <c r="AX33" i="1"/>
  <c r="AP33" i="1"/>
  <c r="BI33" i="1" s="1"/>
  <c r="AC33" i="1" s="1"/>
  <c r="AO33" i="1"/>
  <c r="H33" i="1" s="1"/>
  <c r="AL33" i="1"/>
  <c r="AJ33" i="1"/>
  <c r="AS32" i="1" s="1"/>
  <c r="AH33" i="1"/>
  <c r="AG33" i="1"/>
  <c r="AF33" i="1"/>
  <c r="AE33" i="1"/>
  <c r="AD33" i="1"/>
  <c r="Z33" i="1"/>
  <c r="J33" i="1"/>
  <c r="AK33" i="1" s="1"/>
  <c r="AT32" i="1" s="1"/>
  <c r="BJ31" i="1"/>
  <c r="BF31" i="1"/>
  <c r="BD31" i="1"/>
  <c r="AX31" i="1"/>
  <c r="AW31" i="1"/>
  <c r="BC31" i="1" s="1"/>
  <c r="AP31" i="1"/>
  <c r="BI31" i="1" s="1"/>
  <c r="AC31" i="1" s="1"/>
  <c r="AO31" i="1"/>
  <c r="BH31" i="1" s="1"/>
  <c r="AB31" i="1" s="1"/>
  <c r="AL31" i="1"/>
  <c r="AU30" i="1" s="1"/>
  <c r="AJ31" i="1"/>
  <c r="AH31" i="1"/>
  <c r="AG31" i="1"/>
  <c r="AF31" i="1"/>
  <c r="AE31" i="1"/>
  <c r="AD31" i="1"/>
  <c r="Z31" i="1"/>
  <c r="J31" i="1"/>
  <c r="AK31" i="1" s="1"/>
  <c r="AT30" i="1" s="1"/>
  <c r="I31" i="1"/>
  <c r="I30" i="1" s="1"/>
  <c r="AS30" i="1"/>
  <c r="BJ29" i="1"/>
  <c r="BF29" i="1"/>
  <c r="BD29" i="1"/>
  <c r="AX29" i="1"/>
  <c r="AW29" i="1"/>
  <c r="BC29" i="1" s="1"/>
  <c r="AV29" i="1"/>
  <c r="AP29" i="1"/>
  <c r="BI29" i="1" s="1"/>
  <c r="AC29" i="1" s="1"/>
  <c r="AO29" i="1"/>
  <c r="BH29" i="1" s="1"/>
  <c r="AB29" i="1" s="1"/>
  <c r="AL29" i="1"/>
  <c r="AU28" i="1" s="1"/>
  <c r="AK29" i="1"/>
  <c r="AT28" i="1" s="1"/>
  <c r="AJ29" i="1"/>
  <c r="AH29" i="1"/>
  <c r="AG29" i="1"/>
  <c r="AF29" i="1"/>
  <c r="AE29" i="1"/>
  <c r="AD29" i="1"/>
  <c r="Z29" i="1"/>
  <c r="J29" i="1"/>
  <c r="I29" i="1"/>
  <c r="I28" i="1" s="1"/>
  <c r="H29" i="1"/>
  <c r="H28" i="1" s="1"/>
  <c r="AS28" i="1"/>
  <c r="J28" i="1"/>
  <c r="BJ27" i="1"/>
  <c r="BF27" i="1"/>
  <c r="BD27" i="1"/>
  <c r="AW27" i="1"/>
  <c r="AP27" i="1"/>
  <c r="AX27" i="1" s="1"/>
  <c r="AO27" i="1"/>
  <c r="BH27" i="1" s="1"/>
  <c r="AB27" i="1" s="1"/>
  <c r="AL27" i="1"/>
  <c r="AK27" i="1"/>
  <c r="AT26" i="1" s="1"/>
  <c r="AJ27" i="1"/>
  <c r="AS26" i="1" s="1"/>
  <c r="AH27" i="1"/>
  <c r="AG27" i="1"/>
  <c r="AF27" i="1"/>
  <c r="AE27" i="1"/>
  <c r="AD27" i="1"/>
  <c r="Z27" i="1"/>
  <c r="J27" i="1"/>
  <c r="H27" i="1"/>
  <c r="H26" i="1" s="1"/>
  <c r="AU26" i="1"/>
  <c r="J26" i="1"/>
  <c r="BJ25" i="1"/>
  <c r="BF25" i="1"/>
  <c r="BD25" i="1"/>
  <c r="AP25" i="1"/>
  <c r="AX25" i="1" s="1"/>
  <c r="AO25" i="1"/>
  <c r="AW25" i="1" s="1"/>
  <c r="AL25" i="1"/>
  <c r="AJ25" i="1"/>
  <c r="AH25" i="1"/>
  <c r="AG25" i="1"/>
  <c r="AF25" i="1"/>
  <c r="AE25" i="1"/>
  <c r="AD25" i="1"/>
  <c r="Z25" i="1"/>
  <c r="J25" i="1"/>
  <c r="AK25" i="1" s="1"/>
  <c r="BJ24" i="1"/>
  <c r="BF24" i="1"/>
  <c r="BD24" i="1"/>
  <c r="AW24" i="1"/>
  <c r="AP24" i="1"/>
  <c r="BI24" i="1" s="1"/>
  <c r="AC24" i="1" s="1"/>
  <c r="AO24" i="1"/>
  <c r="BH24" i="1" s="1"/>
  <c r="AB24" i="1" s="1"/>
  <c r="AL24" i="1"/>
  <c r="AK24" i="1"/>
  <c r="AT23" i="1" s="1"/>
  <c r="AJ24" i="1"/>
  <c r="AS23" i="1" s="1"/>
  <c r="AH24" i="1"/>
  <c r="AG24" i="1"/>
  <c r="AF24" i="1"/>
  <c r="AE24" i="1"/>
  <c r="AD24" i="1"/>
  <c r="Z24" i="1"/>
  <c r="J24" i="1"/>
  <c r="H24" i="1"/>
  <c r="AU23" i="1"/>
  <c r="J23" i="1"/>
  <c r="BJ22" i="1"/>
  <c r="BH22" i="1"/>
  <c r="AB22" i="1" s="1"/>
  <c r="BF22" i="1"/>
  <c r="BD22" i="1"/>
  <c r="AP22" i="1"/>
  <c r="AX22" i="1" s="1"/>
  <c r="AO22" i="1"/>
  <c r="AW22" i="1" s="1"/>
  <c r="AL22" i="1"/>
  <c r="AJ22" i="1"/>
  <c r="AH22" i="1"/>
  <c r="AG22" i="1"/>
  <c r="AF22" i="1"/>
  <c r="AE22" i="1"/>
  <c r="AD22" i="1"/>
  <c r="Z22" i="1"/>
  <c r="J22" i="1"/>
  <c r="AK22" i="1" s="1"/>
  <c r="BJ21" i="1"/>
  <c r="BF21" i="1"/>
  <c r="BD21" i="1"/>
  <c r="AW21" i="1"/>
  <c r="AP21" i="1"/>
  <c r="AX21" i="1" s="1"/>
  <c r="AO21" i="1"/>
  <c r="BH21" i="1" s="1"/>
  <c r="AB21" i="1" s="1"/>
  <c r="AL21" i="1"/>
  <c r="AK21" i="1"/>
  <c r="AJ21" i="1"/>
  <c r="AH21" i="1"/>
  <c r="AG21" i="1"/>
  <c r="AF21" i="1"/>
  <c r="AE21" i="1"/>
  <c r="AD21" i="1"/>
  <c r="Z21" i="1"/>
  <c r="J21" i="1"/>
  <c r="H21" i="1"/>
  <c r="BJ20" i="1"/>
  <c r="BF20" i="1"/>
  <c r="BD20" i="1"/>
  <c r="AX20" i="1"/>
  <c r="AW20" i="1"/>
  <c r="BC20" i="1" s="1"/>
  <c r="AV20" i="1"/>
  <c r="AP20" i="1"/>
  <c r="BI20" i="1" s="1"/>
  <c r="AC20" i="1" s="1"/>
  <c r="AO20" i="1"/>
  <c r="BH20" i="1" s="1"/>
  <c r="AB20" i="1" s="1"/>
  <c r="AL20" i="1"/>
  <c r="AU19" i="1" s="1"/>
  <c r="AK20" i="1"/>
  <c r="AJ20" i="1"/>
  <c r="AH20" i="1"/>
  <c r="AG20" i="1"/>
  <c r="AF20" i="1"/>
  <c r="AE20" i="1"/>
  <c r="AD20" i="1"/>
  <c r="Z20" i="1"/>
  <c r="J20" i="1"/>
  <c r="I20" i="1"/>
  <c r="H20" i="1"/>
  <c r="AS19" i="1"/>
  <c r="J19" i="1"/>
  <c r="BJ18" i="1"/>
  <c r="BF18" i="1"/>
  <c r="BD18" i="1"/>
  <c r="AW18" i="1"/>
  <c r="AP18" i="1"/>
  <c r="BI18" i="1" s="1"/>
  <c r="AC18" i="1" s="1"/>
  <c r="AO18" i="1"/>
  <c r="BH18" i="1" s="1"/>
  <c r="AB18" i="1" s="1"/>
  <c r="AL18" i="1"/>
  <c r="AK18" i="1"/>
  <c r="AJ18" i="1"/>
  <c r="AH18" i="1"/>
  <c r="AG18" i="1"/>
  <c r="AF18" i="1"/>
  <c r="AE18" i="1"/>
  <c r="AD18" i="1"/>
  <c r="Z18" i="1"/>
  <c r="J18" i="1"/>
  <c r="H18" i="1"/>
  <c r="BJ17" i="1"/>
  <c r="BF17" i="1"/>
  <c r="BD17" i="1"/>
  <c r="AX17" i="1"/>
  <c r="AW17" i="1"/>
  <c r="BC17" i="1" s="1"/>
  <c r="AV17" i="1"/>
  <c r="AP17" i="1"/>
  <c r="BI17" i="1" s="1"/>
  <c r="AC17" i="1" s="1"/>
  <c r="AO17" i="1"/>
  <c r="BH17" i="1" s="1"/>
  <c r="AB17" i="1" s="1"/>
  <c r="AL17" i="1"/>
  <c r="AU16" i="1" s="1"/>
  <c r="AK17" i="1"/>
  <c r="AT16" i="1" s="1"/>
  <c r="AJ17" i="1"/>
  <c r="AH17" i="1"/>
  <c r="AG17" i="1"/>
  <c r="AF17" i="1"/>
  <c r="AE17" i="1"/>
  <c r="AD17" i="1"/>
  <c r="Z17" i="1"/>
  <c r="J17" i="1"/>
  <c r="I17" i="1"/>
  <c r="H17" i="1"/>
  <c r="H16" i="1" s="1"/>
  <c r="AS16" i="1"/>
  <c r="J16" i="1"/>
  <c r="BJ15" i="1"/>
  <c r="BF15" i="1"/>
  <c r="BD15" i="1"/>
  <c r="AW15" i="1"/>
  <c r="AP15" i="1"/>
  <c r="BI15" i="1" s="1"/>
  <c r="AC15" i="1" s="1"/>
  <c r="AO15" i="1"/>
  <c r="BH15" i="1" s="1"/>
  <c r="AB15" i="1" s="1"/>
  <c r="AL15" i="1"/>
  <c r="AJ15" i="1"/>
  <c r="AH15" i="1"/>
  <c r="AG15" i="1"/>
  <c r="AF15" i="1"/>
  <c r="AE15" i="1"/>
  <c r="AD15" i="1"/>
  <c r="Z15" i="1"/>
  <c r="J15" i="1"/>
  <c r="AK15" i="1" s="1"/>
  <c r="H15" i="1"/>
  <c r="BJ14" i="1"/>
  <c r="BF14" i="1"/>
  <c r="BD14" i="1"/>
  <c r="AX14" i="1"/>
  <c r="AW14" i="1"/>
  <c r="BC14" i="1" s="1"/>
  <c r="AV14" i="1"/>
  <c r="AP14" i="1"/>
  <c r="BI14" i="1" s="1"/>
  <c r="AC14" i="1" s="1"/>
  <c r="AO14" i="1"/>
  <c r="BH14" i="1" s="1"/>
  <c r="AB14" i="1" s="1"/>
  <c r="AL14" i="1"/>
  <c r="AK14" i="1"/>
  <c r="AJ14" i="1"/>
  <c r="AH14" i="1"/>
  <c r="AG14" i="1"/>
  <c r="AF14" i="1"/>
  <c r="AE14" i="1"/>
  <c r="AD14" i="1"/>
  <c r="Z14" i="1"/>
  <c r="J14" i="1"/>
  <c r="I14" i="1"/>
  <c r="H14" i="1"/>
  <c r="BJ13" i="1"/>
  <c r="BH13" i="1"/>
  <c r="BF13" i="1"/>
  <c r="BD13" i="1"/>
  <c r="AX13" i="1"/>
  <c r="AW13" i="1"/>
  <c r="BC13" i="1" s="1"/>
  <c r="AP13" i="1"/>
  <c r="BI13" i="1" s="1"/>
  <c r="AC13" i="1" s="1"/>
  <c r="AO13" i="1"/>
  <c r="H13" i="1" s="1"/>
  <c r="H12" i="1" s="1"/>
  <c r="AL13" i="1"/>
  <c r="C29" i="2" s="1"/>
  <c r="F29" i="2" s="1"/>
  <c r="AJ13" i="1"/>
  <c r="C27" i="2" s="1"/>
  <c r="AH13" i="1"/>
  <c r="C20" i="2" s="1"/>
  <c r="AG13" i="1"/>
  <c r="AF13" i="1"/>
  <c r="C18" i="2" s="1"/>
  <c r="AE13" i="1"/>
  <c r="C17" i="2" s="1"/>
  <c r="AD13" i="1"/>
  <c r="C16" i="2" s="1"/>
  <c r="AB13" i="1"/>
  <c r="Z13" i="1"/>
  <c r="C21" i="2" s="1"/>
  <c r="J13" i="1"/>
  <c r="AK13" i="1" s="1"/>
  <c r="AT12" i="1" s="1"/>
  <c r="I13" i="1"/>
  <c r="AS12" i="1"/>
  <c r="AU1" i="1"/>
  <c r="AT1" i="1"/>
  <c r="AS1" i="1"/>
  <c r="AV27" i="1" l="1"/>
  <c r="BC27" i="1"/>
  <c r="AV51" i="1"/>
  <c r="BC51" i="1"/>
  <c r="BC62" i="1"/>
  <c r="AV63" i="1"/>
  <c r="BC63" i="1"/>
  <c r="BC64" i="1"/>
  <c r="AV64" i="1"/>
  <c r="AV67" i="1"/>
  <c r="BC67" i="1"/>
  <c r="BC54" i="1"/>
  <c r="AV54" i="1"/>
  <c r="C28" i="2"/>
  <c r="F28" i="2" s="1"/>
  <c r="BC22" i="1"/>
  <c r="AV22" i="1"/>
  <c r="BC65" i="1"/>
  <c r="AV65" i="1"/>
  <c r="C19" i="2"/>
  <c r="H47" i="1"/>
  <c r="BC21" i="1"/>
  <c r="AV21" i="1"/>
  <c r="BC25" i="1"/>
  <c r="AV25" i="1"/>
  <c r="I12" i="1"/>
  <c r="BC52" i="1"/>
  <c r="AV52" i="1"/>
  <c r="F29" i="3"/>
  <c r="AT19" i="1"/>
  <c r="BI51" i="1"/>
  <c r="AC51" i="1" s="1"/>
  <c r="BH64" i="1"/>
  <c r="J43" i="1"/>
  <c r="BI52" i="1"/>
  <c r="AC52" i="1" s="1"/>
  <c r="AU12" i="1"/>
  <c r="AV13" i="1"/>
  <c r="H31" i="1"/>
  <c r="H30" i="1" s="1"/>
  <c r="AV31" i="1"/>
  <c r="I33" i="1"/>
  <c r="I32" i="1" s="1"/>
  <c r="AW33" i="1"/>
  <c r="H34" i="1"/>
  <c r="H32" i="1" s="1"/>
  <c r="AV34" i="1"/>
  <c r="H37" i="1"/>
  <c r="H36" i="1" s="1"/>
  <c r="AV37" i="1"/>
  <c r="H40" i="1"/>
  <c r="H39" i="1" s="1"/>
  <c r="AV40" i="1"/>
  <c r="I42" i="1"/>
  <c r="I41" i="1" s="1"/>
  <c r="AW42" i="1"/>
  <c r="AX44" i="1"/>
  <c r="I45" i="1"/>
  <c r="I43" i="1" s="1"/>
  <c r="AW45" i="1"/>
  <c r="H46" i="1"/>
  <c r="H43" i="1" s="1"/>
  <c r="AV46" i="1"/>
  <c r="I48" i="1"/>
  <c r="AW48" i="1"/>
  <c r="H49" i="1"/>
  <c r="AV49" i="1"/>
  <c r="BI50" i="1"/>
  <c r="AC50" i="1" s="1"/>
  <c r="BH51" i="1"/>
  <c r="AB51" i="1" s="1"/>
  <c r="H58" i="1"/>
  <c r="H57" i="1" s="1"/>
  <c r="AV58" i="1"/>
  <c r="BI59" i="1"/>
  <c r="H61" i="1"/>
  <c r="AV61" i="1"/>
  <c r="BI62" i="1"/>
  <c r="BH63" i="1"/>
  <c r="BI63" i="1"/>
  <c r="I15" i="1"/>
  <c r="I18" i="1"/>
  <c r="I16" i="1" s="1"/>
  <c r="I21" i="1"/>
  <c r="I19" i="1" s="1"/>
  <c r="H22" i="1"/>
  <c r="H19" i="1" s="1"/>
  <c r="I24" i="1"/>
  <c r="H25" i="1"/>
  <c r="H23" i="1" s="1"/>
  <c r="I27" i="1"/>
  <c r="I26" i="1" s="1"/>
  <c r="J32" i="1"/>
  <c r="J41" i="1"/>
  <c r="J47" i="1"/>
  <c r="I51" i="1"/>
  <c r="H52" i="1"/>
  <c r="I54" i="1"/>
  <c r="I53" i="1" s="1"/>
  <c r="I63" i="1"/>
  <c r="H64" i="1"/>
  <c r="BI21" i="1"/>
  <c r="AC21" i="1" s="1"/>
  <c r="C15" i="2" s="1"/>
  <c r="BH25" i="1"/>
  <c r="AB25" i="1" s="1"/>
  <c r="C14" i="2" s="1"/>
  <c r="BI27" i="1"/>
  <c r="AC27" i="1" s="1"/>
  <c r="BI22" i="1"/>
  <c r="AC22" i="1" s="1"/>
  <c r="BH65" i="1"/>
  <c r="J12" i="1"/>
  <c r="AX15" i="1"/>
  <c r="AX18" i="1"/>
  <c r="I22" i="1"/>
  <c r="AX24" i="1"/>
  <c r="I25" i="1"/>
  <c r="J30" i="1"/>
  <c r="J36" i="1"/>
  <c r="J39" i="1"/>
  <c r="I52" i="1"/>
  <c r="J57" i="1"/>
  <c r="J60" i="1"/>
  <c r="I64" i="1"/>
  <c r="I60" i="1" s="1"/>
  <c r="H65" i="1"/>
  <c r="BH67" i="1"/>
  <c r="BI25" i="1"/>
  <c r="AC25" i="1" s="1"/>
  <c r="BI64" i="1"/>
  <c r="BH33" i="1"/>
  <c r="AB33" i="1" s="1"/>
  <c r="BH42" i="1"/>
  <c r="AB42" i="1" s="1"/>
  <c r="BI44" i="1"/>
  <c r="AC44" i="1" s="1"/>
  <c r="BH45" i="1"/>
  <c r="AB45" i="1" s="1"/>
  <c r="BH48" i="1"/>
  <c r="AB48" i="1" s="1"/>
  <c r="C22" i="2" l="1"/>
  <c r="I28" i="2"/>
  <c r="I29" i="2" s="1"/>
  <c r="I47" i="1"/>
  <c r="BC18" i="1"/>
  <c r="AV18" i="1"/>
  <c r="AV15" i="1"/>
  <c r="BC15" i="1"/>
  <c r="AV44" i="1"/>
  <c r="BC44" i="1"/>
  <c r="BC24" i="1"/>
  <c r="AV24" i="1"/>
  <c r="AV45" i="1"/>
  <c r="BC45" i="1"/>
  <c r="I23" i="1"/>
  <c r="AV42" i="1"/>
  <c r="BC42" i="1"/>
  <c r="AV33" i="1"/>
  <c r="BC33" i="1"/>
  <c r="J68" i="1"/>
  <c r="H60" i="1"/>
  <c r="AV48" i="1"/>
  <c r="BC48" i="1"/>
</calcChain>
</file>

<file path=xl/sharedStrings.xml><?xml version="1.0" encoding="utf-8"?>
<sst xmlns="http://schemas.openxmlformats.org/spreadsheetml/2006/main" count="805" uniqueCount="288">
  <si>
    <t>Slepý stavební rozpočet</t>
  </si>
  <si>
    <t>Název stavby:</t>
  </si>
  <si>
    <t>PS_rekonstrukce kanalizace a komunikace - sever</t>
  </si>
  <si>
    <t>Doba výstavby:</t>
  </si>
  <si>
    <t xml:space="preserve"> </t>
  </si>
  <si>
    <t>Objednatel:</t>
  </si>
  <si>
    <t> </t>
  </si>
  <si>
    <t>Druh stavby:</t>
  </si>
  <si>
    <t>Začátek výstavby:</t>
  </si>
  <si>
    <t>04.08.2025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</si>
  <si>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</si>
  <si>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</si>
  <si>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</si>
  <si>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</si>
  <si>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</si>
  <si>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</si>
  <si>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</si>
  <si>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</si>
  <si>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</si>
  <si>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</si>
  <si>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</si>
  <si>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</si>
  <si>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</si>
  <si>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</si>
  <si>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</si>
  <si>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</si>
  <si>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</si>
  <si>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</si>
  <si>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</si>
  <si>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</si>
  <si>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</si>
  <si>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</si>
  <si>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</si>
  <si>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</si>
  <si>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</si>
  <si>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</si>
  <si>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</si>
  <si>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</si>
  <si>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</si>
  <si>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</si>
  <si>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</si>
  <si>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</si>
  <si>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</si>
  <si>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</si>
  <si>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</si>
  <si>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</si>
  <si>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</si>
  <si>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</si>
  <si>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</si>
  <si>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</si>
  <si>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113109430R00</t>
  </si>
  <si>
    <t>Odstranění podkladu pl.nad 50 m2, beton, tl. 30 cm</t>
  </si>
  <si>
    <t>m2</t>
  </si>
  <si>
    <t>RTS II / 2024</t>
  </si>
  <si>
    <t>11_</t>
  </si>
  <si>
    <t>1_</t>
  </si>
  <si>
    <t>_</t>
  </si>
  <si>
    <t>2</t>
  </si>
  <si>
    <t>113201011RAC</t>
  </si>
  <si>
    <t>Vytrhání obrubníků silničních</t>
  </si>
  <si>
    <t>m</t>
  </si>
  <si>
    <t>3</t>
  </si>
  <si>
    <t>113151111R00</t>
  </si>
  <si>
    <t>Rozebrání ploch ze silničních panelů</t>
  </si>
  <si>
    <t>13</t>
  </si>
  <si>
    <t>Hloubené vykopávky</t>
  </si>
  <si>
    <t>4</t>
  </si>
  <si>
    <t>132200112RA0</t>
  </si>
  <si>
    <t>Hloubení zapaž.rýh šířky.do 200 cm v hornině.1-4</t>
  </si>
  <si>
    <t>m3</t>
  </si>
  <si>
    <t>13_</t>
  </si>
  <si>
    <t>5</t>
  </si>
  <si>
    <t>132201111R00</t>
  </si>
  <si>
    <t>Hloubení rýh š.do 60 cm v hor.3 do 100 m3, STROJNĚ</t>
  </si>
  <si>
    <t>15</t>
  </si>
  <si>
    <t>Roubení</t>
  </si>
  <si>
    <t>6</t>
  </si>
  <si>
    <t>151201102R00</t>
  </si>
  <si>
    <t>Pažení a rozepření stěn rýh - zátažné - hl. do 4 m</t>
  </si>
  <si>
    <t>15_</t>
  </si>
  <si>
    <t>7</t>
  </si>
  <si>
    <t>151201112R00</t>
  </si>
  <si>
    <t>Odstranění pažení stěn rýh - zátažné - hl. do 4 m</t>
  </si>
  <si>
    <t>8</t>
  </si>
  <si>
    <t>151201301R00</t>
  </si>
  <si>
    <t>Rozepření stěn pažení - zátažné -  hl. do 4 m</t>
  </si>
  <si>
    <t>17</t>
  </si>
  <si>
    <t>Konstrukce ze zemin</t>
  </si>
  <si>
    <t>9</t>
  </si>
  <si>
    <t>175100020RAC</t>
  </si>
  <si>
    <t>Obsyp potrubí štěrkopískem</t>
  </si>
  <si>
    <t>17_</t>
  </si>
  <si>
    <t>10</t>
  </si>
  <si>
    <t>174100010RA0</t>
  </si>
  <si>
    <t>Zásyp jam, rýh a šachet sypaninou</t>
  </si>
  <si>
    <t>21</t>
  </si>
  <si>
    <t>Úprava podloží a základové spáry</t>
  </si>
  <si>
    <t>215901101RT5</t>
  </si>
  <si>
    <t>Zhutnění podloží z hornin nesoudržných do 92% PS</t>
  </si>
  <si>
    <t>21_</t>
  </si>
  <si>
    <t>2_</t>
  </si>
  <si>
    <t>31</t>
  </si>
  <si>
    <t>Zdi podpěrné a volné</t>
  </si>
  <si>
    <t>12</t>
  </si>
  <si>
    <t>311419311R00</t>
  </si>
  <si>
    <t>Izolace perimetrickými deskami tl. 70 mm, omítka syntetická</t>
  </si>
  <si>
    <t>31_</t>
  </si>
  <si>
    <t>3_</t>
  </si>
  <si>
    <t>45</t>
  </si>
  <si>
    <t>Podkladní a vedlejší konstrukce (kromě vozovek a železničního svršku)</t>
  </si>
  <si>
    <t>452312151R00</t>
  </si>
  <si>
    <t>Sedlové lože pod potrubí z betonu C 20/25</t>
  </si>
  <si>
    <t>45_</t>
  </si>
  <si>
    <t>4_</t>
  </si>
  <si>
    <t>56</t>
  </si>
  <si>
    <t>Podkladní vrstvy komunikací, letišť a ploch</t>
  </si>
  <si>
    <t>14</t>
  </si>
  <si>
    <t>564112215R00</t>
  </si>
  <si>
    <t>Podklad z bet.recyklátu fr.16-32 po zhutn.tl.15 cm</t>
  </si>
  <si>
    <t>56_</t>
  </si>
  <si>
    <t>5_</t>
  </si>
  <si>
    <t>567132115R00</t>
  </si>
  <si>
    <t>Podklad z kameniva zpev.cementem SC C8/10 tl.20 cm</t>
  </si>
  <si>
    <t>16</t>
  </si>
  <si>
    <t>564851111RT2</t>
  </si>
  <si>
    <t>Podklad ze štěrkodrti po zhutnění tloušťky 15 cm</t>
  </si>
  <si>
    <t>59</t>
  </si>
  <si>
    <t>Kryty pozemních komunikací, letišť a ploch dlážděných (předlažby)</t>
  </si>
  <si>
    <t>596215061R00</t>
  </si>
  <si>
    <t>Kladení zámkové dlažby tl. 10 cm do drtě tl. 4 cm</t>
  </si>
  <si>
    <t>59_</t>
  </si>
  <si>
    <t>18</t>
  </si>
  <si>
    <t>596291115R00</t>
  </si>
  <si>
    <t>Řezání zámkové dlažby tl.100 mm</t>
  </si>
  <si>
    <t>721</t>
  </si>
  <si>
    <t>Vnitřní kanalizace</t>
  </si>
  <si>
    <t>19</t>
  </si>
  <si>
    <t>721210831R00</t>
  </si>
  <si>
    <t>Demontáž dvorní vpusti s obetonávkou</t>
  </si>
  <si>
    <t>kus</t>
  </si>
  <si>
    <t>721_</t>
  </si>
  <si>
    <t>72_</t>
  </si>
  <si>
    <t>82</t>
  </si>
  <si>
    <t>Potrubí z trub železobetonových a předpjatých</t>
  </si>
  <si>
    <t>20</t>
  </si>
  <si>
    <t>822392111RT2</t>
  </si>
  <si>
    <t>Montáž trub ŽB těs. pryžovými kroužky DN 400</t>
  </si>
  <si>
    <t>82_</t>
  </si>
  <si>
    <t>8_</t>
  </si>
  <si>
    <t>87</t>
  </si>
  <si>
    <t>Potrubí z trub plastických, skleněných a čedičových</t>
  </si>
  <si>
    <t>871313121RU3</t>
  </si>
  <si>
    <t>Montáž trub kanaliz. z plastu, hrdlových, DN 150</t>
  </si>
  <si>
    <t>87_</t>
  </si>
  <si>
    <t>22</t>
  </si>
  <si>
    <t>871373121R00</t>
  </si>
  <si>
    <t>Montáž trub kanaliz. z plastu, hrdlových, DN 300</t>
  </si>
  <si>
    <t>23</t>
  </si>
  <si>
    <t>871228111R00</t>
  </si>
  <si>
    <t>Kladení dren. potrubí do rýhy, tvr. PVC, do 150 mm</t>
  </si>
  <si>
    <t>89</t>
  </si>
  <si>
    <t>Ostatní konstrukce a práce na trubním vedení</t>
  </si>
  <si>
    <t>24</t>
  </si>
  <si>
    <t>894211141R00</t>
  </si>
  <si>
    <t>Šachty z betonu kruhové,dno C 25/30,potrubí DN 500</t>
  </si>
  <si>
    <t>89_</t>
  </si>
  <si>
    <t>25</t>
  </si>
  <si>
    <t>894401111R00</t>
  </si>
  <si>
    <t>Osazení betonových skruží rovných 29/80/9</t>
  </si>
  <si>
    <t>26</t>
  </si>
  <si>
    <t>899103111RT2</t>
  </si>
  <si>
    <t>Osazení poklopu s rámem do 150 kg</t>
  </si>
  <si>
    <t>27</t>
  </si>
  <si>
    <t>895941311RT2</t>
  </si>
  <si>
    <t>Zřízení vpusti uliční z dílců typ UVB - 50</t>
  </si>
  <si>
    <t>28</t>
  </si>
  <si>
    <t>894800013R00</t>
  </si>
  <si>
    <t>Osazení odlučovače ropných látek průtok do 30 l/s</t>
  </si>
  <si>
    <t>91</t>
  </si>
  <si>
    <t>Doplňující konstrukce a práce na pozemních komunikacích a zpevněných plochách</t>
  </si>
  <si>
    <t>29</t>
  </si>
  <si>
    <t>917862111RU3</t>
  </si>
  <si>
    <t>Osazení stojatého obrubníku betonového, s boční opěrou, do lože z betonu C 12/15</t>
  </si>
  <si>
    <t>91_</t>
  </si>
  <si>
    <t>9_</t>
  </si>
  <si>
    <t>M46</t>
  </si>
  <si>
    <t>Zemní práce při montážích</t>
  </si>
  <si>
    <t>30</t>
  </si>
  <si>
    <t>460600001RT8</t>
  </si>
  <si>
    <t>Naložení a odvoz zeminy</t>
  </si>
  <si>
    <t>M46_</t>
  </si>
  <si>
    <t>S</t>
  </si>
  <si>
    <t>Přesuny sutí</t>
  </si>
  <si>
    <t>979081111R00</t>
  </si>
  <si>
    <t>Odvoz suti a vybour. hmot na skládku do 1 km</t>
  </si>
  <si>
    <t>t</t>
  </si>
  <si>
    <t>S_</t>
  </si>
  <si>
    <t>32</t>
  </si>
  <si>
    <t>979096211R00</t>
  </si>
  <si>
    <t>Drcení stavební suti mobilní drticí jednotkou</t>
  </si>
  <si>
    <t>M</t>
  </si>
  <si>
    <t>Ostatní materiál</t>
  </si>
  <si>
    <t>33</t>
  </si>
  <si>
    <t>59224001</t>
  </si>
  <si>
    <t>Skruž šachtová beton BEST SR - F 1000 x 500 PS</t>
  </si>
  <si>
    <t>0</t>
  </si>
  <si>
    <t>Z99999_</t>
  </si>
  <si>
    <t>Z_</t>
  </si>
  <si>
    <t>34</t>
  </si>
  <si>
    <t>592243534</t>
  </si>
  <si>
    <t>Konus šachtový beton Prefa TBR-Q 500/1000 x 800/120 KPS</t>
  </si>
  <si>
    <t>35</t>
  </si>
  <si>
    <t>59222408.A</t>
  </si>
  <si>
    <t>Trouba železobetonová hrdlová TZH-Q 400/2500 integro</t>
  </si>
  <si>
    <t>36</t>
  </si>
  <si>
    <t>59245030</t>
  </si>
  <si>
    <t>Dlažba zámková H-PROFIL 200 x 165 x 80 mm přírodní</t>
  </si>
  <si>
    <t>37</t>
  </si>
  <si>
    <t>56241526</t>
  </si>
  <si>
    <t>Odlučovač ropných látek GSOL-10/50 plast + 2 poklopy15 t</t>
  </si>
  <si>
    <t>38</t>
  </si>
  <si>
    <t>286147933</t>
  </si>
  <si>
    <t>Trubka kanalizační odolná PPKGEM 315 x 9,7 x 3000 mm</t>
  </si>
  <si>
    <t>39</t>
  </si>
  <si>
    <t>286147915</t>
  </si>
  <si>
    <t>Trubka kanalizační odolná PPKGEM 160 x 4,9 x 3000 mm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</si>
  <si>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</si>
  <si>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</si>
  <si>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</si>
  <si>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</si>
  <si>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</si>
  <si>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</si>
  <si>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</si>
  <si>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</si>
  <si>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</si>
  <si>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</si>
  <si>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</si>
  <si>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</si>
  <si>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</si>
  <si>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</si>
  <si>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</si>
  <si>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</si>
  <si>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</si>
  <si>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</si>
  <si>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</si>
  <si>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</si>
  <si>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</si>
  <si>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</si>
  <si>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</si>
  <si>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</si>
  <si>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</si>
  <si>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</si>
  <si>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</si>
  <si>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</si>
  <si>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</si>
  <si>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</si>
  <si>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</si>
  <si>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</si>
  <si>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</si>
  <si>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</si>
  <si>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</si>
  <si>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</si>
  <si>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</si>
  <si>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</si>
  <si>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</si>
  <si>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</si>
  <si>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</si>
  <si>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</si>
  <si>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</si>
  <si>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</si>
  <si>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</si>
  <si>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</si>
  <si>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</si>
  <si>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</si>
  <si>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</si>
  <si>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</si>
  <si>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</si>
  <si>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</si>
  <si>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</si>
  <si>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</si>
  <si>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</si>
  <si>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</si>
  <si>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</si>
  <si>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Ostatní položky</t>
  </si>
  <si>
    <t>Provedneí zkoušek - statická zkouška hutnění včetně protokolu</t>
  </si>
  <si>
    <t>Geodetické práce</t>
  </si>
  <si>
    <t>kpl</t>
  </si>
  <si>
    <t>Zkoušky těsnosti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</si>
</sst>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4" fontId="9" fillId="0" borderId="41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8" fillId="0" borderId="44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4" fontId="9" fillId="0" borderId="39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8" fillId="2" borderId="38" xfId="0" applyNumberFormat="1" applyFont="1" applyFill="1" applyBorder="1" applyAlignment="1">
      <alignment horizontal="right" vertical="center"/>
    </xf>
    <xf numFmtId="4" fontId="8" fillId="2" borderId="43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4" fontId="3" fillId="0" borderId="4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4" fontId="3" fillId="0" borderId="68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2" xfId="0" applyFont="1" applyBorder="1" applyAlignment="1">
      <alignment horizontal="right" vertical="center"/>
    </xf>
    <xf numFmtId="4" fontId="2" fillId="0" borderId="72" xfId="0" applyNumberFormat="1" applyFont="1" applyBorder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4" fontId="8" fillId="0" borderId="73" xfId="0" applyNumberFormat="1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8" fillId="0" borderId="71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77"/>
  <sheetViews>
    <sheetView workbookViewId="0">
      <pane ySplit="11" topLeftCell="A12" activePane="bottomLeft" state="frozen"/>
      <selection pane="bottomLeft" activeCell="N62" sqref="N61:N62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35.7109375" customWidth="1"/>
    <col min="5" max="5" width="4.285156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85" t="s">
        <v>1</v>
      </c>
      <c r="B2" s="77"/>
      <c r="C2" s="90" t="s">
        <v>2</v>
      </c>
      <c r="D2" s="91"/>
      <c r="E2" s="77" t="s">
        <v>3</v>
      </c>
      <c r="F2" s="77"/>
      <c r="G2" s="77" t="s">
        <v>4</v>
      </c>
      <c r="H2" s="89" t="s">
        <v>5</v>
      </c>
      <c r="I2" s="77" t="s">
        <v>6</v>
      </c>
      <c r="J2" s="77"/>
      <c r="K2" s="78"/>
    </row>
    <row r="3" spans="1:76" x14ac:dyDescent="0.25">
      <c r="A3" s="86"/>
      <c r="B3" s="64"/>
      <c r="C3" s="92"/>
      <c r="D3" s="92"/>
      <c r="E3" s="64"/>
      <c r="F3" s="64"/>
      <c r="G3" s="64"/>
      <c r="H3" s="64"/>
      <c r="I3" s="64"/>
      <c r="J3" s="64"/>
      <c r="K3" s="79"/>
    </row>
    <row r="4" spans="1:76" x14ac:dyDescent="0.25">
      <c r="A4" s="87" t="s">
        <v>7</v>
      </c>
      <c r="B4" s="64"/>
      <c r="C4" s="63" t="s">
        <v>4</v>
      </c>
      <c r="D4" s="64"/>
      <c r="E4" s="64" t="s">
        <v>8</v>
      </c>
      <c r="F4" s="64"/>
      <c r="G4" s="64"/>
      <c r="H4" s="63" t="s">
        <v>10</v>
      </c>
      <c r="I4" s="64" t="s">
        <v>6</v>
      </c>
      <c r="J4" s="64"/>
      <c r="K4" s="79"/>
    </row>
    <row r="5" spans="1:76" x14ac:dyDescent="0.25">
      <c r="A5" s="86"/>
      <c r="B5" s="64"/>
      <c r="C5" s="64"/>
      <c r="D5" s="64"/>
      <c r="E5" s="64"/>
      <c r="F5" s="64"/>
      <c r="G5" s="64"/>
      <c r="H5" s="64"/>
      <c r="I5" s="64"/>
      <c r="J5" s="64"/>
      <c r="K5" s="79"/>
    </row>
    <row r="6" spans="1:76" x14ac:dyDescent="0.25">
      <c r="A6" s="87" t="s">
        <v>11</v>
      </c>
      <c r="B6" s="64"/>
      <c r="C6" s="63" t="s">
        <v>4</v>
      </c>
      <c r="D6" s="64"/>
      <c r="E6" s="64" t="s">
        <v>12</v>
      </c>
      <c r="F6" s="64"/>
      <c r="G6" s="64" t="s">
        <v>4</v>
      </c>
      <c r="H6" s="63" t="s">
        <v>13</v>
      </c>
      <c r="I6" s="64" t="s">
        <v>6</v>
      </c>
      <c r="J6" s="64"/>
      <c r="K6" s="79"/>
    </row>
    <row r="7" spans="1:76" x14ac:dyDescent="0.25">
      <c r="A7" s="86"/>
      <c r="B7" s="64"/>
      <c r="C7" s="64"/>
      <c r="D7" s="64"/>
      <c r="E7" s="64"/>
      <c r="F7" s="64"/>
      <c r="G7" s="64"/>
      <c r="H7" s="64"/>
      <c r="I7" s="64"/>
      <c r="J7" s="64"/>
      <c r="K7" s="79"/>
    </row>
    <row r="8" spans="1:76" x14ac:dyDescent="0.25">
      <c r="A8" s="87" t="s">
        <v>14</v>
      </c>
      <c r="B8" s="64"/>
      <c r="C8" s="63" t="s">
        <v>4</v>
      </c>
      <c r="D8" s="64"/>
      <c r="E8" s="64" t="s">
        <v>15</v>
      </c>
      <c r="F8" s="64"/>
      <c r="G8" s="64" t="s">
        <v>9</v>
      </c>
      <c r="H8" s="63" t="s">
        <v>16</v>
      </c>
      <c r="I8" s="64" t="s">
        <v>6</v>
      </c>
      <c r="J8" s="64"/>
      <c r="K8" s="79"/>
    </row>
    <row r="9" spans="1:76" x14ac:dyDescent="0.25">
      <c r="A9" s="88"/>
      <c r="B9" s="80"/>
      <c r="C9" s="80"/>
      <c r="D9" s="80"/>
      <c r="E9" s="80"/>
      <c r="F9" s="80"/>
      <c r="G9" s="80"/>
      <c r="H9" s="80"/>
      <c r="I9" s="80"/>
      <c r="J9" s="80"/>
      <c r="K9" s="81"/>
    </row>
    <row r="10" spans="1:76" x14ac:dyDescent="0.25">
      <c r="A10" s="5" t="s">
        <v>17</v>
      </c>
      <c r="B10" s="6" t="s">
        <v>18</v>
      </c>
      <c r="C10" s="82" t="s">
        <v>19</v>
      </c>
      <c r="D10" s="83"/>
      <c r="E10" s="6" t="s">
        <v>20</v>
      </c>
      <c r="F10" s="7" t="s">
        <v>21</v>
      </c>
      <c r="G10" s="8" t="s">
        <v>22</v>
      </c>
      <c r="H10" s="72" t="s">
        <v>23</v>
      </c>
      <c r="I10" s="73"/>
      <c r="J10" s="74"/>
      <c r="K10" s="9" t="s">
        <v>24</v>
      </c>
      <c r="BK10" s="10" t="s">
        <v>25</v>
      </c>
      <c r="BL10" s="11" t="s">
        <v>26</v>
      </c>
      <c r="BW10" s="11" t="s">
        <v>27</v>
      </c>
    </row>
    <row r="11" spans="1:76" x14ac:dyDescent="0.25">
      <c r="A11" s="12" t="s">
        <v>4</v>
      </c>
      <c r="B11" s="13" t="s">
        <v>4</v>
      </c>
      <c r="C11" s="70" t="s">
        <v>28</v>
      </c>
      <c r="D11" s="71"/>
      <c r="E11" s="13" t="s">
        <v>4</v>
      </c>
      <c r="F11" s="13" t="s">
        <v>4</v>
      </c>
      <c r="G11" s="14" t="s">
        <v>29</v>
      </c>
      <c r="H11" s="15" t="s">
        <v>30</v>
      </c>
      <c r="I11" s="16" t="s">
        <v>31</v>
      </c>
      <c r="J11" s="17" t="s">
        <v>32</v>
      </c>
      <c r="K11" s="18" t="s">
        <v>33</v>
      </c>
      <c r="Z11" s="10" t="s">
        <v>34</v>
      </c>
      <c r="AA11" s="10" t="s">
        <v>35</v>
      </c>
      <c r="AB11" s="10" t="s">
        <v>36</v>
      </c>
      <c r="AC11" s="10" t="s">
        <v>37</v>
      </c>
      <c r="AD11" s="10" t="s">
        <v>38</v>
      </c>
      <c r="AE11" s="10" t="s">
        <v>39</v>
      </c>
      <c r="AF11" s="10" t="s">
        <v>40</v>
      </c>
      <c r="AG11" s="10" t="s">
        <v>41</v>
      </c>
      <c r="AH11" s="10" t="s">
        <v>42</v>
      </c>
      <c r="BH11" s="10" t="s">
        <v>43</v>
      </c>
      <c r="BI11" s="10" t="s">
        <v>44</v>
      </c>
      <c r="BJ11" s="10" t="s">
        <v>45</v>
      </c>
    </row>
    <row r="12" spans="1:76" x14ac:dyDescent="0.25">
      <c r="A12" s="19" t="s">
        <v>46</v>
      </c>
      <c r="B12" s="20" t="s">
        <v>47</v>
      </c>
      <c r="C12" s="75" t="s">
        <v>48</v>
      </c>
      <c r="D12" s="76"/>
      <c r="E12" s="21" t="s">
        <v>4</v>
      </c>
      <c r="F12" s="21" t="s">
        <v>4</v>
      </c>
      <c r="G12" s="21" t="s">
        <v>4</v>
      </c>
      <c r="H12" s="22">
        <f>SUM(H13:H15)</f>
        <v>0</v>
      </c>
      <c r="I12" s="22">
        <f>SUM(I13:I15)</f>
        <v>0</v>
      </c>
      <c r="J12" s="22">
        <f>SUM(J13:J15)</f>
        <v>0</v>
      </c>
      <c r="K12" s="23" t="s">
        <v>46</v>
      </c>
      <c r="AI12" s="10" t="s">
        <v>46</v>
      </c>
      <c r="AS12" s="1">
        <f>SUM(AJ13:AJ15)</f>
        <v>0</v>
      </c>
      <c r="AT12" s="1">
        <f>SUM(AK13:AK15)</f>
        <v>0</v>
      </c>
      <c r="AU12" s="1">
        <f>SUM(AL13:AL15)</f>
        <v>0</v>
      </c>
    </row>
    <row r="13" spans="1:76" x14ac:dyDescent="0.25">
      <c r="A13" s="2" t="s">
        <v>49</v>
      </c>
      <c r="B13" s="3" t="s">
        <v>50</v>
      </c>
      <c r="C13" s="63" t="s">
        <v>51</v>
      </c>
      <c r="D13" s="64"/>
      <c r="E13" s="3" t="s">
        <v>52</v>
      </c>
      <c r="F13" s="24">
        <v>1276.57</v>
      </c>
      <c r="G13" s="24">
        <v>0</v>
      </c>
      <c r="H13" s="24">
        <f>ROUND(F13*AO13,2)</f>
        <v>0</v>
      </c>
      <c r="I13" s="24">
        <f>ROUND(F13*AP13,2)</f>
        <v>0</v>
      </c>
      <c r="J13" s="24">
        <f>ROUND(F13*G13,2)</f>
        <v>0</v>
      </c>
      <c r="K13" s="25" t="s">
        <v>53</v>
      </c>
      <c r="Z13" s="24">
        <f>ROUND(IF(AQ13="5",BJ13,0),2)</f>
        <v>0</v>
      </c>
      <c r="AB13" s="24">
        <f>ROUND(IF(AQ13="1",BH13,0),2)</f>
        <v>0</v>
      </c>
      <c r="AC13" s="24">
        <f>ROUND(IF(AQ13="1",BI13,0),2)</f>
        <v>0</v>
      </c>
      <c r="AD13" s="24">
        <f>ROUND(IF(AQ13="7",BH13,0),2)</f>
        <v>0</v>
      </c>
      <c r="AE13" s="24">
        <f>ROUND(IF(AQ13="7",BI13,0),2)</f>
        <v>0</v>
      </c>
      <c r="AF13" s="24">
        <f>ROUND(IF(AQ13="2",BH13,0),2)</f>
        <v>0</v>
      </c>
      <c r="AG13" s="24">
        <f>ROUND(IF(AQ13="2",BI13,0),2)</f>
        <v>0</v>
      </c>
      <c r="AH13" s="24">
        <f>ROUND(IF(AQ13="0",BJ13,0),2)</f>
        <v>0</v>
      </c>
      <c r="AI13" s="10" t="s">
        <v>46</v>
      </c>
      <c r="AJ13" s="24">
        <f>IF(AN13=0,J13,0)</f>
        <v>0</v>
      </c>
      <c r="AK13" s="24">
        <f>IF(AN13=12,J13,0)</f>
        <v>0</v>
      </c>
      <c r="AL13" s="24">
        <f>IF(AN13=21,J13,0)</f>
        <v>0</v>
      </c>
      <c r="AN13" s="24">
        <v>12</v>
      </c>
      <c r="AO13" s="24">
        <f>G13*0</f>
        <v>0</v>
      </c>
      <c r="AP13" s="24">
        <f>G13*(1-0)</f>
        <v>0</v>
      </c>
      <c r="AQ13" s="26" t="s">
        <v>49</v>
      </c>
      <c r="AV13" s="24">
        <f>ROUND(AW13+AX13,2)</f>
        <v>0</v>
      </c>
      <c r="AW13" s="24">
        <f>ROUND(F13*AO13,2)</f>
        <v>0</v>
      </c>
      <c r="AX13" s="24">
        <f>ROUND(F13*AP13,2)</f>
        <v>0</v>
      </c>
      <c r="AY13" s="26" t="s">
        <v>54</v>
      </c>
      <c r="AZ13" s="26" t="s">
        <v>55</v>
      </c>
      <c r="BA13" s="10" t="s">
        <v>56</v>
      </c>
      <c r="BB13" s="27">
        <v>100002</v>
      </c>
      <c r="BC13" s="24">
        <f>AW13+AX13</f>
        <v>0</v>
      </c>
      <c r="BD13" s="24">
        <f>G13/(100-BE13)*100</f>
        <v>0</v>
      </c>
      <c r="BE13" s="24">
        <v>0</v>
      </c>
      <c r="BF13" s="24">
        <f>13</f>
        <v>13</v>
      </c>
      <c r="BH13" s="24">
        <f>F13*AO13</f>
        <v>0</v>
      </c>
      <c r="BI13" s="24">
        <f>F13*AP13</f>
        <v>0</v>
      </c>
      <c r="BJ13" s="24">
        <f>F13*G13</f>
        <v>0</v>
      </c>
      <c r="BK13" s="24"/>
      <c r="BL13" s="24">
        <v>11</v>
      </c>
      <c r="BW13" s="24">
        <v>12</v>
      </c>
      <c r="BX13" s="4" t="s">
        <v>51</v>
      </c>
    </row>
    <row r="14" spans="1:76" x14ac:dyDescent="0.25">
      <c r="A14" s="2" t="s">
        <v>57</v>
      </c>
      <c r="B14" s="3" t="s">
        <v>58</v>
      </c>
      <c r="C14" s="63" t="s">
        <v>59</v>
      </c>
      <c r="D14" s="64"/>
      <c r="E14" s="3" t="s">
        <v>60</v>
      </c>
      <c r="F14" s="24">
        <v>60</v>
      </c>
      <c r="G14" s="24">
        <v>0</v>
      </c>
      <c r="H14" s="24">
        <f>ROUND(F14*AO14,2)</f>
        <v>0</v>
      </c>
      <c r="I14" s="24">
        <f>ROUND(F14*AP14,2)</f>
        <v>0</v>
      </c>
      <c r="J14" s="24">
        <f>ROUND(F14*G14,2)</f>
        <v>0</v>
      </c>
      <c r="K14" s="25" t="s">
        <v>53</v>
      </c>
      <c r="Z14" s="24">
        <f>ROUND(IF(AQ14="5",BJ14,0),2)</f>
        <v>0</v>
      </c>
      <c r="AB14" s="24">
        <f>ROUND(IF(AQ14="1",BH14,0),2)</f>
        <v>0</v>
      </c>
      <c r="AC14" s="24">
        <f>ROUND(IF(AQ14="1",BI14,0),2)</f>
        <v>0</v>
      </c>
      <c r="AD14" s="24">
        <f>ROUND(IF(AQ14="7",BH14,0),2)</f>
        <v>0</v>
      </c>
      <c r="AE14" s="24">
        <f>ROUND(IF(AQ14="7",BI14,0),2)</f>
        <v>0</v>
      </c>
      <c r="AF14" s="24">
        <f>ROUND(IF(AQ14="2",BH14,0),2)</f>
        <v>0</v>
      </c>
      <c r="AG14" s="24">
        <f>ROUND(IF(AQ14="2",BI14,0),2)</f>
        <v>0</v>
      </c>
      <c r="AH14" s="24">
        <f>ROUND(IF(AQ14="0",BJ14,0),2)</f>
        <v>0</v>
      </c>
      <c r="AI14" s="10" t="s">
        <v>46</v>
      </c>
      <c r="AJ14" s="24">
        <f>IF(AN14=0,J14,0)</f>
        <v>0</v>
      </c>
      <c r="AK14" s="24">
        <f>IF(AN14=12,J14,0)</f>
        <v>0</v>
      </c>
      <c r="AL14" s="24">
        <f>IF(AN14=21,J14,0)</f>
        <v>0</v>
      </c>
      <c r="AN14" s="24">
        <v>12</v>
      </c>
      <c r="AO14" s="24">
        <f>G14*0</f>
        <v>0</v>
      </c>
      <c r="AP14" s="24">
        <f>G14*(1-0)</f>
        <v>0</v>
      </c>
      <c r="AQ14" s="26" t="s">
        <v>49</v>
      </c>
      <c r="AV14" s="24">
        <f>ROUND(AW14+AX14,2)</f>
        <v>0</v>
      </c>
      <c r="AW14" s="24">
        <f>ROUND(F14*AO14,2)</f>
        <v>0</v>
      </c>
      <c r="AX14" s="24">
        <f>ROUND(F14*AP14,2)</f>
        <v>0</v>
      </c>
      <c r="AY14" s="26" t="s">
        <v>54</v>
      </c>
      <c r="AZ14" s="26" t="s">
        <v>55</v>
      </c>
      <c r="BA14" s="10" t="s">
        <v>56</v>
      </c>
      <c r="BC14" s="24">
        <f>AW14+AX14</f>
        <v>0</v>
      </c>
      <c r="BD14" s="24">
        <f>G14/(100-BE14)*100</f>
        <v>0</v>
      </c>
      <c r="BE14" s="24">
        <v>0</v>
      </c>
      <c r="BF14" s="24">
        <f>14</f>
        <v>14</v>
      </c>
      <c r="BH14" s="24">
        <f>F14*AO14</f>
        <v>0</v>
      </c>
      <c r="BI14" s="24">
        <f>F14*AP14</f>
        <v>0</v>
      </c>
      <c r="BJ14" s="24">
        <f>F14*G14</f>
        <v>0</v>
      </c>
      <c r="BK14" s="24"/>
      <c r="BL14" s="24">
        <v>11</v>
      </c>
      <c r="BW14" s="24">
        <v>12</v>
      </c>
      <c r="BX14" s="4" t="s">
        <v>59</v>
      </c>
    </row>
    <row r="15" spans="1:76" x14ac:dyDescent="0.25">
      <c r="A15" s="2" t="s">
        <v>61</v>
      </c>
      <c r="B15" s="3" t="s">
        <v>62</v>
      </c>
      <c r="C15" s="63" t="s">
        <v>63</v>
      </c>
      <c r="D15" s="64"/>
      <c r="E15" s="3" t="s">
        <v>52</v>
      </c>
      <c r="F15" s="24">
        <v>92.88</v>
      </c>
      <c r="G15" s="24">
        <v>0</v>
      </c>
      <c r="H15" s="24">
        <f>ROUND(F15*AO15,2)</f>
        <v>0</v>
      </c>
      <c r="I15" s="24">
        <f>ROUND(F15*AP15,2)</f>
        <v>0</v>
      </c>
      <c r="J15" s="24">
        <f>ROUND(F15*G15,2)</f>
        <v>0</v>
      </c>
      <c r="K15" s="25" t="s">
        <v>53</v>
      </c>
      <c r="Z15" s="24">
        <f>ROUND(IF(AQ15="5",BJ15,0),2)</f>
        <v>0</v>
      </c>
      <c r="AB15" s="24">
        <f>ROUND(IF(AQ15="1",BH15,0),2)</f>
        <v>0</v>
      </c>
      <c r="AC15" s="24">
        <f>ROUND(IF(AQ15="1",BI15,0),2)</f>
        <v>0</v>
      </c>
      <c r="AD15" s="24">
        <f>ROUND(IF(AQ15="7",BH15,0),2)</f>
        <v>0</v>
      </c>
      <c r="AE15" s="24">
        <f>ROUND(IF(AQ15="7",BI15,0),2)</f>
        <v>0</v>
      </c>
      <c r="AF15" s="24">
        <f>ROUND(IF(AQ15="2",BH15,0),2)</f>
        <v>0</v>
      </c>
      <c r="AG15" s="24">
        <f>ROUND(IF(AQ15="2",BI15,0),2)</f>
        <v>0</v>
      </c>
      <c r="AH15" s="24">
        <f>ROUND(IF(AQ15="0",BJ15,0),2)</f>
        <v>0</v>
      </c>
      <c r="AI15" s="10" t="s">
        <v>46</v>
      </c>
      <c r="AJ15" s="24">
        <f>IF(AN15=0,J15,0)</f>
        <v>0</v>
      </c>
      <c r="AK15" s="24">
        <f>IF(AN15=12,J15,0)</f>
        <v>0</v>
      </c>
      <c r="AL15" s="24">
        <f>IF(AN15=21,J15,0)</f>
        <v>0</v>
      </c>
      <c r="AN15" s="24">
        <v>12</v>
      </c>
      <c r="AO15" s="24">
        <f>G15*0</f>
        <v>0</v>
      </c>
      <c r="AP15" s="24">
        <f>G15*(1-0)</f>
        <v>0</v>
      </c>
      <c r="AQ15" s="26" t="s">
        <v>49</v>
      </c>
      <c r="AV15" s="24">
        <f>ROUND(AW15+AX15,2)</f>
        <v>0</v>
      </c>
      <c r="AW15" s="24">
        <f>ROUND(F15*AO15,2)</f>
        <v>0</v>
      </c>
      <c r="AX15" s="24">
        <f>ROUND(F15*AP15,2)</f>
        <v>0</v>
      </c>
      <c r="AY15" s="26" t="s">
        <v>54</v>
      </c>
      <c r="AZ15" s="26" t="s">
        <v>55</v>
      </c>
      <c r="BA15" s="10" t="s">
        <v>56</v>
      </c>
      <c r="BC15" s="24">
        <f>AW15+AX15</f>
        <v>0</v>
      </c>
      <c r="BD15" s="24">
        <f>G15/(100-BE15)*100</f>
        <v>0</v>
      </c>
      <c r="BE15" s="24">
        <v>0</v>
      </c>
      <c r="BF15" s="24">
        <f>15</f>
        <v>15</v>
      </c>
      <c r="BH15" s="24">
        <f>F15*AO15</f>
        <v>0</v>
      </c>
      <c r="BI15" s="24">
        <f>F15*AP15</f>
        <v>0</v>
      </c>
      <c r="BJ15" s="24">
        <f>F15*G15</f>
        <v>0</v>
      </c>
      <c r="BK15" s="24"/>
      <c r="BL15" s="24">
        <v>11</v>
      </c>
      <c r="BW15" s="24">
        <v>12</v>
      </c>
      <c r="BX15" s="4" t="s">
        <v>63</v>
      </c>
    </row>
    <row r="16" spans="1:76" x14ac:dyDescent="0.25">
      <c r="A16" s="28" t="s">
        <v>46</v>
      </c>
      <c r="B16" s="29" t="s">
        <v>64</v>
      </c>
      <c r="C16" s="68" t="s">
        <v>65</v>
      </c>
      <c r="D16" s="69"/>
      <c r="E16" s="30" t="s">
        <v>4</v>
      </c>
      <c r="F16" s="30" t="s">
        <v>4</v>
      </c>
      <c r="G16" s="30" t="s">
        <v>4</v>
      </c>
      <c r="H16" s="1">
        <f>SUM(H17:H18)</f>
        <v>0</v>
      </c>
      <c r="I16" s="1">
        <f>SUM(I17:I18)</f>
        <v>0</v>
      </c>
      <c r="J16" s="1">
        <f>SUM(J17:J18)</f>
        <v>0</v>
      </c>
      <c r="K16" s="31" t="s">
        <v>46</v>
      </c>
      <c r="AI16" s="10" t="s">
        <v>46</v>
      </c>
      <c r="AS16" s="1">
        <f>SUM(AJ17:AJ18)</f>
        <v>0</v>
      </c>
      <c r="AT16" s="1">
        <f>SUM(AK17:AK18)</f>
        <v>0</v>
      </c>
      <c r="AU16" s="1">
        <f>SUM(AL17:AL18)</f>
        <v>0</v>
      </c>
    </row>
    <row r="17" spans="1:76" x14ac:dyDescent="0.25">
      <c r="A17" s="2" t="s">
        <v>66</v>
      </c>
      <c r="B17" s="3" t="s">
        <v>67</v>
      </c>
      <c r="C17" s="63" t="s">
        <v>68</v>
      </c>
      <c r="D17" s="64"/>
      <c r="E17" s="3" t="s">
        <v>69</v>
      </c>
      <c r="F17" s="24">
        <v>305.27499999999998</v>
      </c>
      <c r="G17" s="24">
        <v>0</v>
      </c>
      <c r="H17" s="24">
        <f>ROUND(F17*AO17,2)</f>
        <v>0</v>
      </c>
      <c r="I17" s="24">
        <f>ROUND(F17*AP17,2)</f>
        <v>0</v>
      </c>
      <c r="J17" s="24">
        <f>ROUND(F17*G17,2)</f>
        <v>0</v>
      </c>
      <c r="K17" s="25" t="s">
        <v>53</v>
      </c>
      <c r="Z17" s="24">
        <f>ROUND(IF(AQ17="5",BJ17,0),2)</f>
        <v>0</v>
      </c>
      <c r="AB17" s="24">
        <f>ROUND(IF(AQ17="1",BH17,0),2)</f>
        <v>0</v>
      </c>
      <c r="AC17" s="24">
        <f>ROUND(IF(AQ17="1",BI17,0),2)</f>
        <v>0</v>
      </c>
      <c r="AD17" s="24">
        <f>ROUND(IF(AQ17="7",BH17,0),2)</f>
        <v>0</v>
      </c>
      <c r="AE17" s="24">
        <f>ROUND(IF(AQ17="7",BI17,0),2)</f>
        <v>0</v>
      </c>
      <c r="AF17" s="24">
        <f>ROUND(IF(AQ17="2",BH17,0),2)</f>
        <v>0</v>
      </c>
      <c r="AG17" s="24">
        <f>ROUND(IF(AQ17="2",BI17,0),2)</f>
        <v>0</v>
      </c>
      <c r="AH17" s="24">
        <f>ROUND(IF(AQ17="0",BJ17,0),2)</f>
        <v>0</v>
      </c>
      <c r="AI17" s="10" t="s">
        <v>46</v>
      </c>
      <c r="AJ17" s="24">
        <f>IF(AN17=0,J17,0)</f>
        <v>0</v>
      </c>
      <c r="AK17" s="24">
        <f>IF(AN17=12,J17,0)</f>
        <v>0</v>
      </c>
      <c r="AL17" s="24">
        <f>IF(AN17=21,J17,0)</f>
        <v>0</v>
      </c>
      <c r="AN17" s="24">
        <v>12</v>
      </c>
      <c r="AO17" s="24">
        <f>G17*0.039742341</f>
        <v>0</v>
      </c>
      <c r="AP17" s="24">
        <f>G17*(1-0.039742341)</f>
        <v>0</v>
      </c>
      <c r="AQ17" s="26" t="s">
        <v>49</v>
      </c>
      <c r="AV17" s="24">
        <f>ROUND(AW17+AX17,2)</f>
        <v>0</v>
      </c>
      <c r="AW17" s="24">
        <f>ROUND(F17*AO17,2)</f>
        <v>0</v>
      </c>
      <c r="AX17" s="24">
        <f>ROUND(F17*AP17,2)</f>
        <v>0</v>
      </c>
      <c r="AY17" s="26" t="s">
        <v>70</v>
      </c>
      <c r="AZ17" s="26" t="s">
        <v>55</v>
      </c>
      <c r="BA17" s="10" t="s">
        <v>56</v>
      </c>
      <c r="BB17" s="27">
        <v>100001</v>
      </c>
      <c r="BC17" s="24">
        <f>AW17+AX17</f>
        <v>0</v>
      </c>
      <c r="BD17" s="24">
        <f>G17/(100-BE17)*100</f>
        <v>0</v>
      </c>
      <c r="BE17" s="24">
        <v>0</v>
      </c>
      <c r="BF17" s="24">
        <f>17</f>
        <v>17</v>
      </c>
      <c r="BH17" s="24">
        <f>F17*AO17</f>
        <v>0</v>
      </c>
      <c r="BI17" s="24">
        <f>F17*AP17</f>
        <v>0</v>
      </c>
      <c r="BJ17" s="24">
        <f>F17*G17</f>
        <v>0</v>
      </c>
      <c r="BK17" s="24"/>
      <c r="BL17" s="24">
        <v>13</v>
      </c>
      <c r="BW17" s="24">
        <v>12</v>
      </c>
      <c r="BX17" s="4" t="s">
        <v>68</v>
      </c>
    </row>
    <row r="18" spans="1:76" x14ac:dyDescent="0.25">
      <c r="A18" s="2" t="s">
        <v>71</v>
      </c>
      <c r="B18" s="3" t="s">
        <v>72</v>
      </c>
      <c r="C18" s="63" t="s">
        <v>73</v>
      </c>
      <c r="D18" s="64"/>
      <c r="E18" s="3" t="s">
        <v>69</v>
      </c>
      <c r="F18" s="24">
        <v>102.90479999999999</v>
      </c>
      <c r="G18" s="24">
        <v>0</v>
      </c>
      <c r="H18" s="24">
        <f>ROUND(F18*AO18,2)</f>
        <v>0</v>
      </c>
      <c r="I18" s="24">
        <f>ROUND(F18*AP18,2)</f>
        <v>0</v>
      </c>
      <c r="J18" s="24">
        <f>ROUND(F18*G18,2)</f>
        <v>0</v>
      </c>
      <c r="K18" s="25" t="s">
        <v>53</v>
      </c>
      <c r="Z18" s="24">
        <f>ROUND(IF(AQ18="5",BJ18,0),2)</f>
        <v>0</v>
      </c>
      <c r="AB18" s="24">
        <f>ROUND(IF(AQ18="1",BH18,0),2)</f>
        <v>0</v>
      </c>
      <c r="AC18" s="24">
        <f>ROUND(IF(AQ18="1",BI18,0),2)</f>
        <v>0</v>
      </c>
      <c r="AD18" s="24">
        <f>ROUND(IF(AQ18="7",BH18,0),2)</f>
        <v>0</v>
      </c>
      <c r="AE18" s="24">
        <f>ROUND(IF(AQ18="7",BI18,0),2)</f>
        <v>0</v>
      </c>
      <c r="AF18" s="24">
        <f>ROUND(IF(AQ18="2",BH18,0),2)</f>
        <v>0</v>
      </c>
      <c r="AG18" s="24">
        <f>ROUND(IF(AQ18="2",BI18,0),2)</f>
        <v>0</v>
      </c>
      <c r="AH18" s="24">
        <f>ROUND(IF(AQ18="0",BJ18,0),2)</f>
        <v>0</v>
      </c>
      <c r="AI18" s="10" t="s">
        <v>46</v>
      </c>
      <c r="AJ18" s="24">
        <f>IF(AN18=0,J18,0)</f>
        <v>0</v>
      </c>
      <c r="AK18" s="24">
        <f>IF(AN18=12,J18,0)</f>
        <v>0</v>
      </c>
      <c r="AL18" s="24">
        <f>IF(AN18=21,J18,0)</f>
        <v>0</v>
      </c>
      <c r="AN18" s="24">
        <v>12</v>
      </c>
      <c r="AO18" s="24">
        <f>G18*0</f>
        <v>0</v>
      </c>
      <c r="AP18" s="24">
        <f>G18*(1-0)</f>
        <v>0</v>
      </c>
      <c r="AQ18" s="26" t="s">
        <v>49</v>
      </c>
      <c r="AV18" s="24">
        <f>ROUND(AW18+AX18,2)</f>
        <v>0</v>
      </c>
      <c r="AW18" s="24">
        <f>ROUND(F18*AO18,2)</f>
        <v>0</v>
      </c>
      <c r="AX18" s="24">
        <f>ROUND(F18*AP18,2)</f>
        <v>0</v>
      </c>
      <c r="AY18" s="26" t="s">
        <v>70</v>
      </c>
      <c r="AZ18" s="26" t="s">
        <v>55</v>
      </c>
      <c r="BA18" s="10" t="s">
        <v>56</v>
      </c>
      <c r="BC18" s="24">
        <f>AW18+AX18</f>
        <v>0</v>
      </c>
      <c r="BD18" s="24">
        <f>G18/(100-BE18)*100</f>
        <v>0</v>
      </c>
      <c r="BE18" s="24">
        <v>0</v>
      </c>
      <c r="BF18" s="24">
        <f>18</f>
        <v>18</v>
      </c>
      <c r="BH18" s="24">
        <f>F18*AO18</f>
        <v>0</v>
      </c>
      <c r="BI18" s="24">
        <f>F18*AP18</f>
        <v>0</v>
      </c>
      <c r="BJ18" s="24">
        <f>F18*G18</f>
        <v>0</v>
      </c>
      <c r="BK18" s="24"/>
      <c r="BL18" s="24">
        <v>13</v>
      </c>
      <c r="BW18" s="24">
        <v>12</v>
      </c>
      <c r="BX18" s="4" t="s">
        <v>73</v>
      </c>
    </row>
    <row r="19" spans="1:76" x14ac:dyDescent="0.25">
      <c r="A19" s="28" t="s">
        <v>46</v>
      </c>
      <c r="B19" s="29" t="s">
        <v>74</v>
      </c>
      <c r="C19" s="68" t="s">
        <v>75</v>
      </c>
      <c r="D19" s="69"/>
      <c r="E19" s="30" t="s">
        <v>4</v>
      </c>
      <c r="F19" s="30" t="s">
        <v>4</v>
      </c>
      <c r="G19" s="30" t="s">
        <v>4</v>
      </c>
      <c r="H19" s="1">
        <f>SUM(H20:H22)</f>
        <v>0</v>
      </c>
      <c r="I19" s="1">
        <f>SUM(I20:I22)</f>
        <v>0</v>
      </c>
      <c r="J19" s="1">
        <f>SUM(J20:J22)</f>
        <v>0</v>
      </c>
      <c r="K19" s="31" t="s">
        <v>46</v>
      </c>
      <c r="AI19" s="10" t="s">
        <v>46</v>
      </c>
      <c r="AS19" s="1">
        <f>SUM(AJ20:AJ22)</f>
        <v>0</v>
      </c>
      <c r="AT19" s="1">
        <f>SUM(AK20:AK22)</f>
        <v>0</v>
      </c>
      <c r="AU19" s="1">
        <f>SUM(AL20:AL22)</f>
        <v>0</v>
      </c>
    </row>
    <row r="20" spans="1:76" x14ac:dyDescent="0.25">
      <c r="A20" s="2" t="s">
        <v>76</v>
      </c>
      <c r="B20" s="3" t="s">
        <v>77</v>
      </c>
      <c r="C20" s="63" t="s">
        <v>78</v>
      </c>
      <c r="D20" s="64"/>
      <c r="E20" s="3" t="s">
        <v>52</v>
      </c>
      <c r="F20" s="24">
        <v>798.56799999999998</v>
      </c>
      <c r="G20" s="24">
        <v>0</v>
      </c>
      <c r="H20" s="24">
        <f>ROUND(F20*AO20,2)</f>
        <v>0</v>
      </c>
      <c r="I20" s="24">
        <f>ROUND(F20*AP20,2)</f>
        <v>0</v>
      </c>
      <c r="J20" s="24">
        <f>ROUND(F20*G20,2)</f>
        <v>0</v>
      </c>
      <c r="K20" s="25" t="s">
        <v>53</v>
      </c>
      <c r="Z20" s="24">
        <f>ROUND(IF(AQ20="5",BJ20,0),2)</f>
        <v>0</v>
      </c>
      <c r="AB20" s="24">
        <f>ROUND(IF(AQ20="1",BH20,0),2)</f>
        <v>0</v>
      </c>
      <c r="AC20" s="24">
        <f>ROUND(IF(AQ20="1",BI20,0),2)</f>
        <v>0</v>
      </c>
      <c r="AD20" s="24">
        <f>ROUND(IF(AQ20="7",BH20,0),2)</f>
        <v>0</v>
      </c>
      <c r="AE20" s="24">
        <f>ROUND(IF(AQ20="7",BI20,0),2)</f>
        <v>0</v>
      </c>
      <c r="AF20" s="24">
        <f>ROUND(IF(AQ20="2",BH20,0),2)</f>
        <v>0</v>
      </c>
      <c r="AG20" s="24">
        <f>ROUND(IF(AQ20="2",BI20,0),2)</f>
        <v>0</v>
      </c>
      <c r="AH20" s="24">
        <f>ROUND(IF(AQ20="0",BJ20,0),2)</f>
        <v>0</v>
      </c>
      <c r="AI20" s="10" t="s">
        <v>46</v>
      </c>
      <c r="AJ20" s="24">
        <f>IF(AN20=0,J20,0)</f>
        <v>0</v>
      </c>
      <c r="AK20" s="24">
        <f>IF(AN20=12,J20,0)</f>
        <v>0</v>
      </c>
      <c r="AL20" s="24">
        <f>IF(AN20=21,J20,0)</f>
        <v>0</v>
      </c>
      <c r="AN20" s="24">
        <v>12</v>
      </c>
      <c r="AO20" s="24">
        <f>G20*0.178926249</f>
        <v>0</v>
      </c>
      <c r="AP20" s="24">
        <f>G20*(1-0.178926249)</f>
        <v>0</v>
      </c>
      <c r="AQ20" s="26" t="s">
        <v>49</v>
      </c>
      <c r="AV20" s="24">
        <f>ROUND(AW20+AX20,2)</f>
        <v>0</v>
      </c>
      <c r="AW20" s="24">
        <f>ROUND(F20*AO20,2)</f>
        <v>0</v>
      </c>
      <c r="AX20" s="24">
        <f>ROUND(F20*AP20,2)</f>
        <v>0</v>
      </c>
      <c r="AY20" s="26" t="s">
        <v>79</v>
      </c>
      <c r="AZ20" s="26" t="s">
        <v>55</v>
      </c>
      <c r="BA20" s="10" t="s">
        <v>56</v>
      </c>
      <c r="BC20" s="24">
        <f>AW20+AX20</f>
        <v>0</v>
      </c>
      <c r="BD20" s="24">
        <f>G20/(100-BE20)*100</f>
        <v>0</v>
      </c>
      <c r="BE20" s="24">
        <v>0</v>
      </c>
      <c r="BF20" s="24">
        <f>20</f>
        <v>20</v>
      </c>
      <c r="BH20" s="24">
        <f>F20*AO20</f>
        <v>0</v>
      </c>
      <c r="BI20" s="24">
        <f>F20*AP20</f>
        <v>0</v>
      </c>
      <c r="BJ20" s="24">
        <f>F20*G20</f>
        <v>0</v>
      </c>
      <c r="BK20" s="24"/>
      <c r="BL20" s="24">
        <v>15</v>
      </c>
      <c r="BW20" s="24">
        <v>12</v>
      </c>
      <c r="BX20" s="4" t="s">
        <v>78</v>
      </c>
    </row>
    <row r="21" spans="1:76" x14ac:dyDescent="0.25">
      <c r="A21" s="2" t="s">
        <v>80</v>
      </c>
      <c r="B21" s="3" t="s">
        <v>81</v>
      </c>
      <c r="C21" s="63" t="s">
        <v>82</v>
      </c>
      <c r="D21" s="64"/>
      <c r="E21" s="3" t="s">
        <v>52</v>
      </c>
      <c r="F21" s="24">
        <v>798.56799999999998</v>
      </c>
      <c r="G21" s="24">
        <v>0</v>
      </c>
      <c r="H21" s="24">
        <f>ROUND(F21*AO21,2)</f>
        <v>0</v>
      </c>
      <c r="I21" s="24">
        <f>ROUND(F21*AP21,2)</f>
        <v>0</v>
      </c>
      <c r="J21" s="24">
        <f>ROUND(F21*G21,2)</f>
        <v>0</v>
      </c>
      <c r="K21" s="25" t="s">
        <v>53</v>
      </c>
      <c r="Z21" s="24">
        <f>ROUND(IF(AQ21="5",BJ21,0),2)</f>
        <v>0</v>
      </c>
      <c r="AB21" s="24">
        <f>ROUND(IF(AQ21="1",BH21,0),2)</f>
        <v>0</v>
      </c>
      <c r="AC21" s="24">
        <f>ROUND(IF(AQ21="1",BI21,0),2)</f>
        <v>0</v>
      </c>
      <c r="AD21" s="24">
        <f>ROUND(IF(AQ21="7",BH21,0),2)</f>
        <v>0</v>
      </c>
      <c r="AE21" s="24">
        <f>ROUND(IF(AQ21="7",BI21,0),2)</f>
        <v>0</v>
      </c>
      <c r="AF21" s="24">
        <f>ROUND(IF(AQ21="2",BH21,0),2)</f>
        <v>0</v>
      </c>
      <c r="AG21" s="24">
        <f>ROUND(IF(AQ21="2",BI21,0),2)</f>
        <v>0</v>
      </c>
      <c r="AH21" s="24">
        <f>ROUND(IF(AQ21="0",BJ21,0),2)</f>
        <v>0</v>
      </c>
      <c r="AI21" s="10" t="s">
        <v>46</v>
      </c>
      <c r="AJ21" s="24">
        <f>IF(AN21=0,J21,0)</f>
        <v>0</v>
      </c>
      <c r="AK21" s="24">
        <f>IF(AN21=12,J21,0)</f>
        <v>0</v>
      </c>
      <c r="AL21" s="24">
        <f>IF(AN21=21,J21,0)</f>
        <v>0</v>
      </c>
      <c r="AN21" s="24">
        <v>12</v>
      </c>
      <c r="AO21" s="24">
        <f>G21*0</f>
        <v>0</v>
      </c>
      <c r="AP21" s="24">
        <f>G21*(1-0)</f>
        <v>0</v>
      </c>
      <c r="AQ21" s="26" t="s">
        <v>49</v>
      </c>
      <c r="AV21" s="24">
        <f>ROUND(AW21+AX21,2)</f>
        <v>0</v>
      </c>
      <c r="AW21" s="24">
        <f>ROUND(F21*AO21,2)</f>
        <v>0</v>
      </c>
      <c r="AX21" s="24">
        <f>ROUND(F21*AP21,2)</f>
        <v>0</v>
      </c>
      <c r="AY21" s="26" t="s">
        <v>79</v>
      </c>
      <c r="AZ21" s="26" t="s">
        <v>55</v>
      </c>
      <c r="BA21" s="10" t="s">
        <v>56</v>
      </c>
      <c r="BC21" s="24">
        <f>AW21+AX21</f>
        <v>0</v>
      </c>
      <c r="BD21" s="24">
        <f>G21/(100-BE21)*100</f>
        <v>0</v>
      </c>
      <c r="BE21" s="24">
        <v>0</v>
      </c>
      <c r="BF21" s="24">
        <f>21</f>
        <v>21</v>
      </c>
      <c r="BH21" s="24">
        <f>F21*AO21</f>
        <v>0</v>
      </c>
      <c r="BI21" s="24">
        <f>F21*AP21</f>
        <v>0</v>
      </c>
      <c r="BJ21" s="24">
        <f>F21*G21</f>
        <v>0</v>
      </c>
      <c r="BK21" s="24"/>
      <c r="BL21" s="24">
        <v>15</v>
      </c>
      <c r="BW21" s="24">
        <v>12</v>
      </c>
      <c r="BX21" s="4" t="s">
        <v>82</v>
      </c>
    </row>
    <row r="22" spans="1:76" x14ac:dyDescent="0.25">
      <c r="A22" s="2" t="s">
        <v>83</v>
      </c>
      <c r="B22" s="3" t="s">
        <v>84</v>
      </c>
      <c r="C22" s="63" t="s">
        <v>85</v>
      </c>
      <c r="D22" s="64"/>
      <c r="E22" s="3" t="s">
        <v>69</v>
      </c>
      <c r="F22" s="24">
        <v>798.56799999999998</v>
      </c>
      <c r="G22" s="24">
        <v>0</v>
      </c>
      <c r="H22" s="24">
        <f>ROUND(F22*AO22,2)</f>
        <v>0</v>
      </c>
      <c r="I22" s="24">
        <f>ROUND(F22*AP22,2)</f>
        <v>0</v>
      </c>
      <c r="J22" s="24">
        <f>ROUND(F22*G22,2)</f>
        <v>0</v>
      </c>
      <c r="K22" s="25" t="s">
        <v>53</v>
      </c>
      <c r="Z22" s="24">
        <f>ROUND(IF(AQ22="5",BJ22,0),2)</f>
        <v>0</v>
      </c>
      <c r="AB22" s="24">
        <f>ROUND(IF(AQ22="1",BH22,0),2)</f>
        <v>0</v>
      </c>
      <c r="AC22" s="24">
        <f>ROUND(IF(AQ22="1",BI22,0),2)</f>
        <v>0</v>
      </c>
      <c r="AD22" s="24">
        <f>ROUND(IF(AQ22="7",BH22,0),2)</f>
        <v>0</v>
      </c>
      <c r="AE22" s="24">
        <f>ROUND(IF(AQ22="7",BI22,0),2)</f>
        <v>0</v>
      </c>
      <c r="AF22" s="24">
        <f>ROUND(IF(AQ22="2",BH22,0),2)</f>
        <v>0</v>
      </c>
      <c r="AG22" s="24">
        <f>ROUND(IF(AQ22="2",BI22,0),2)</f>
        <v>0</v>
      </c>
      <c r="AH22" s="24">
        <f>ROUND(IF(AQ22="0",BJ22,0),2)</f>
        <v>0</v>
      </c>
      <c r="AI22" s="10" t="s">
        <v>46</v>
      </c>
      <c r="AJ22" s="24">
        <f>IF(AN22=0,J22,0)</f>
        <v>0</v>
      </c>
      <c r="AK22" s="24">
        <f>IF(AN22=12,J22,0)</f>
        <v>0</v>
      </c>
      <c r="AL22" s="24">
        <f>IF(AN22=21,J22,0)</f>
        <v>0</v>
      </c>
      <c r="AN22" s="24">
        <v>12</v>
      </c>
      <c r="AO22" s="24">
        <f>G22*0.07439653</f>
        <v>0</v>
      </c>
      <c r="AP22" s="24">
        <f>G22*(1-0.07439653)</f>
        <v>0</v>
      </c>
      <c r="AQ22" s="26" t="s">
        <v>49</v>
      </c>
      <c r="AV22" s="24">
        <f>ROUND(AW22+AX22,2)</f>
        <v>0</v>
      </c>
      <c r="AW22" s="24">
        <f>ROUND(F22*AO22,2)</f>
        <v>0</v>
      </c>
      <c r="AX22" s="24">
        <f>ROUND(F22*AP22,2)</f>
        <v>0</v>
      </c>
      <c r="AY22" s="26" t="s">
        <v>79</v>
      </c>
      <c r="AZ22" s="26" t="s">
        <v>55</v>
      </c>
      <c r="BA22" s="10" t="s">
        <v>56</v>
      </c>
      <c r="BC22" s="24">
        <f>AW22+AX22</f>
        <v>0</v>
      </c>
      <c r="BD22" s="24">
        <f>G22/(100-BE22)*100</f>
        <v>0</v>
      </c>
      <c r="BE22" s="24">
        <v>0</v>
      </c>
      <c r="BF22" s="24">
        <f>22</f>
        <v>22</v>
      </c>
      <c r="BH22" s="24">
        <f>F22*AO22</f>
        <v>0</v>
      </c>
      <c r="BI22" s="24">
        <f>F22*AP22</f>
        <v>0</v>
      </c>
      <c r="BJ22" s="24">
        <f>F22*G22</f>
        <v>0</v>
      </c>
      <c r="BK22" s="24"/>
      <c r="BL22" s="24">
        <v>15</v>
      </c>
      <c r="BW22" s="24">
        <v>12</v>
      </c>
      <c r="BX22" s="4" t="s">
        <v>85</v>
      </c>
    </row>
    <row r="23" spans="1:76" x14ac:dyDescent="0.25">
      <c r="A23" s="28" t="s">
        <v>46</v>
      </c>
      <c r="B23" s="29" t="s">
        <v>86</v>
      </c>
      <c r="C23" s="68" t="s">
        <v>87</v>
      </c>
      <c r="D23" s="69"/>
      <c r="E23" s="30" t="s">
        <v>4</v>
      </c>
      <c r="F23" s="30" t="s">
        <v>4</v>
      </c>
      <c r="G23" s="30" t="s">
        <v>4</v>
      </c>
      <c r="H23" s="1">
        <f>SUM(H24:H25)</f>
        <v>0</v>
      </c>
      <c r="I23" s="1">
        <f>SUM(I24:I25)</f>
        <v>0</v>
      </c>
      <c r="J23" s="1">
        <f>SUM(J24:J25)</f>
        <v>0</v>
      </c>
      <c r="K23" s="31" t="s">
        <v>46</v>
      </c>
      <c r="AI23" s="10" t="s">
        <v>46</v>
      </c>
      <c r="AS23" s="1">
        <f>SUM(AJ24:AJ25)</f>
        <v>0</v>
      </c>
      <c r="AT23" s="1">
        <f>SUM(AK24:AK25)</f>
        <v>0</v>
      </c>
      <c r="AU23" s="1">
        <f>SUM(AL24:AL25)</f>
        <v>0</v>
      </c>
    </row>
    <row r="24" spans="1:76" x14ac:dyDescent="0.25">
      <c r="A24" s="2" t="s">
        <v>88</v>
      </c>
      <c r="B24" s="3" t="s">
        <v>89</v>
      </c>
      <c r="C24" s="63" t="s">
        <v>90</v>
      </c>
      <c r="D24" s="64"/>
      <c r="E24" s="3" t="s">
        <v>69</v>
      </c>
      <c r="F24" s="24">
        <v>79.486900000000006</v>
      </c>
      <c r="G24" s="24">
        <v>0</v>
      </c>
      <c r="H24" s="24">
        <f>ROUND(F24*AO24,2)</f>
        <v>0</v>
      </c>
      <c r="I24" s="24">
        <f>ROUND(F24*AP24,2)</f>
        <v>0</v>
      </c>
      <c r="J24" s="24">
        <f>ROUND(F24*G24,2)</f>
        <v>0</v>
      </c>
      <c r="K24" s="25" t="s">
        <v>53</v>
      </c>
      <c r="Z24" s="24">
        <f>ROUND(IF(AQ24="5",BJ24,0),2)</f>
        <v>0</v>
      </c>
      <c r="AB24" s="24">
        <f>ROUND(IF(AQ24="1",BH24,0),2)</f>
        <v>0</v>
      </c>
      <c r="AC24" s="24">
        <f>ROUND(IF(AQ24="1",BI24,0),2)</f>
        <v>0</v>
      </c>
      <c r="AD24" s="24">
        <f>ROUND(IF(AQ24="7",BH24,0),2)</f>
        <v>0</v>
      </c>
      <c r="AE24" s="24">
        <f>ROUND(IF(AQ24="7",BI24,0),2)</f>
        <v>0</v>
      </c>
      <c r="AF24" s="24">
        <f>ROUND(IF(AQ24="2",BH24,0),2)</f>
        <v>0</v>
      </c>
      <c r="AG24" s="24">
        <f>ROUND(IF(AQ24="2",BI24,0),2)</f>
        <v>0</v>
      </c>
      <c r="AH24" s="24">
        <f>ROUND(IF(AQ24="0",BJ24,0),2)</f>
        <v>0</v>
      </c>
      <c r="AI24" s="10" t="s">
        <v>46</v>
      </c>
      <c r="AJ24" s="24">
        <f>IF(AN24=0,J24,0)</f>
        <v>0</v>
      </c>
      <c r="AK24" s="24">
        <f>IF(AN24=12,J24,0)</f>
        <v>0</v>
      </c>
      <c r="AL24" s="24">
        <f>IF(AN24=21,J24,0)</f>
        <v>0</v>
      </c>
      <c r="AN24" s="24">
        <v>12</v>
      </c>
      <c r="AO24" s="24">
        <f>G24*0.313873199</f>
        <v>0</v>
      </c>
      <c r="AP24" s="24">
        <f>G24*(1-0.313873199)</f>
        <v>0</v>
      </c>
      <c r="AQ24" s="26" t="s">
        <v>49</v>
      </c>
      <c r="AV24" s="24">
        <f>ROUND(AW24+AX24,2)</f>
        <v>0</v>
      </c>
      <c r="AW24" s="24">
        <f>ROUND(F24*AO24,2)</f>
        <v>0</v>
      </c>
      <c r="AX24" s="24">
        <f>ROUND(F24*AP24,2)</f>
        <v>0</v>
      </c>
      <c r="AY24" s="26" t="s">
        <v>91</v>
      </c>
      <c r="AZ24" s="26" t="s">
        <v>55</v>
      </c>
      <c r="BA24" s="10" t="s">
        <v>56</v>
      </c>
      <c r="BC24" s="24">
        <f>AW24+AX24</f>
        <v>0</v>
      </c>
      <c r="BD24" s="24">
        <f>G24/(100-BE24)*100</f>
        <v>0</v>
      </c>
      <c r="BE24" s="24">
        <v>0</v>
      </c>
      <c r="BF24" s="24">
        <f>24</f>
        <v>24</v>
      </c>
      <c r="BH24" s="24">
        <f>F24*AO24</f>
        <v>0</v>
      </c>
      <c r="BI24" s="24">
        <f>F24*AP24</f>
        <v>0</v>
      </c>
      <c r="BJ24" s="24">
        <f>F24*G24</f>
        <v>0</v>
      </c>
      <c r="BK24" s="24"/>
      <c r="BL24" s="24">
        <v>17</v>
      </c>
      <c r="BW24" s="24">
        <v>12</v>
      </c>
      <c r="BX24" s="4" t="s">
        <v>90</v>
      </c>
    </row>
    <row r="25" spans="1:76" x14ac:dyDescent="0.25">
      <c r="A25" s="2" t="s">
        <v>92</v>
      </c>
      <c r="B25" s="3" t="s">
        <v>93</v>
      </c>
      <c r="C25" s="63" t="s">
        <v>94</v>
      </c>
      <c r="D25" s="64"/>
      <c r="E25" s="3" t="s">
        <v>69</v>
      </c>
      <c r="F25" s="24">
        <v>247.04660000000001</v>
      </c>
      <c r="G25" s="24">
        <v>0</v>
      </c>
      <c r="H25" s="24">
        <f>ROUND(F25*AO25,2)</f>
        <v>0</v>
      </c>
      <c r="I25" s="24">
        <f>ROUND(F25*AP25,2)</f>
        <v>0</v>
      </c>
      <c r="J25" s="24">
        <f>ROUND(F25*G25,2)</f>
        <v>0</v>
      </c>
      <c r="K25" s="25" t="s">
        <v>53</v>
      </c>
      <c r="Z25" s="24">
        <f>ROUND(IF(AQ25="5",BJ25,0),2)</f>
        <v>0</v>
      </c>
      <c r="AB25" s="24">
        <f>ROUND(IF(AQ25="1",BH25,0),2)</f>
        <v>0</v>
      </c>
      <c r="AC25" s="24">
        <f>ROUND(IF(AQ25="1",BI25,0),2)</f>
        <v>0</v>
      </c>
      <c r="AD25" s="24">
        <f>ROUND(IF(AQ25="7",BH25,0),2)</f>
        <v>0</v>
      </c>
      <c r="AE25" s="24">
        <f>ROUND(IF(AQ25="7",BI25,0),2)</f>
        <v>0</v>
      </c>
      <c r="AF25" s="24">
        <f>ROUND(IF(AQ25="2",BH25,0),2)</f>
        <v>0</v>
      </c>
      <c r="AG25" s="24">
        <f>ROUND(IF(AQ25="2",BI25,0),2)</f>
        <v>0</v>
      </c>
      <c r="AH25" s="24">
        <f>ROUND(IF(AQ25="0",BJ25,0),2)</f>
        <v>0</v>
      </c>
      <c r="AI25" s="10" t="s">
        <v>46</v>
      </c>
      <c r="AJ25" s="24">
        <f>IF(AN25=0,J25,0)</f>
        <v>0</v>
      </c>
      <c r="AK25" s="24">
        <f>IF(AN25=12,J25,0)</f>
        <v>0</v>
      </c>
      <c r="AL25" s="24">
        <f>IF(AN25=21,J25,0)</f>
        <v>0</v>
      </c>
      <c r="AN25" s="24">
        <v>12</v>
      </c>
      <c r="AO25" s="24">
        <f>G25*0</f>
        <v>0</v>
      </c>
      <c r="AP25" s="24">
        <f>G25*(1-0)</f>
        <v>0</v>
      </c>
      <c r="AQ25" s="26" t="s">
        <v>49</v>
      </c>
      <c r="AV25" s="24">
        <f>ROUND(AW25+AX25,2)</f>
        <v>0</v>
      </c>
      <c r="AW25" s="24">
        <f>ROUND(F25*AO25,2)</f>
        <v>0</v>
      </c>
      <c r="AX25" s="24">
        <f>ROUND(F25*AP25,2)</f>
        <v>0</v>
      </c>
      <c r="AY25" s="26" t="s">
        <v>91</v>
      </c>
      <c r="AZ25" s="26" t="s">
        <v>55</v>
      </c>
      <c r="BA25" s="10" t="s">
        <v>56</v>
      </c>
      <c r="BC25" s="24">
        <f>AW25+AX25</f>
        <v>0</v>
      </c>
      <c r="BD25" s="24">
        <f>G25/(100-BE25)*100</f>
        <v>0</v>
      </c>
      <c r="BE25" s="24">
        <v>0</v>
      </c>
      <c r="BF25" s="24">
        <f>25</f>
        <v>25</v>
      </c>
      <c r="BH25" s="24">
        <f>F25*AO25</f>
        <v>0</v>
      </c>
      <c r="BI25" s="24">
        <f>F25*AP25</f>
        <v>0</v>
      </c>
      <c r="BJ25" s="24">
        <f>F25*G25</f>
        <v>0</v>
      </c>
      <c r="BK25" s="24"/>
      <c r="BL25" s="24">
        <v>17</v>
      </c>
      <c r="BW25" s="24">
        <v>12</v>
      </c>
      <c r="BX25" s="4" t="s">
        <v>94</v>
      </c>
    </row>
    <row r="26" spans="1:76" x14ac:dyDescent="0.25">
      <c r="A26" s="28" t="s">
        <v>46</v>
      </c>
      <c r="B26" s="29" t="s">
        <v>95</v>
      </c>
      <c r="C26" s="68" t="s">
        <v>96</v>
      </c>
      <c r="D26" s="69"/>
      <c r="E26" s="30" t="s">
        <v>4</v>
      </c>
      <c r="F26" s="30" t="s">
        <v>4</v>
      </c>
      <c r="G26" s="30" t="s">
        <v>4</v>
      </c>
      <c r="H26" s="1">
        <f>SUM(H27:H27)</f>
        <v>0</v>
      </c>
      <c r="I26" s="1">
        <f>SUM(I27:I27)</f>
        <v>0</v>
      </c>
      <c r="J26" s="1">
        <f>SUM(J27:J27)</f>
        <v>0</v>
      </c>
      <c r="K26" s="31" t="s">
        <v>46</v>
      </c>
      <c r="AI26" s="10" t="s">
        <v>46</v>
      </c>
      <c r="AS26" s="1">
        <f>SUM(AJ27:AJ27)</f>
        <v>0</v>
      </c>
      <c r="AT26" s="1">
        <f>SUM(AK27:AK27)</f>
        <v>0</v>
      </c>
      <c r="AU26" s="1">
        <f>SUM(AL27:AL27)</f>
        <v>0</v>
      </c>
    </row>
    <row r="27" spans="1:76" x14ac:dyDescent="0.25">
      <c r="A27" s="2" t="s">
        <v>47</v>
      </c>
      <c r="B27" s="3" t="s">
        <v>97</v>
      </c>
      <c r="C27" s="63" t="s">
        <v>98</v>
      </c>
      <c r="D27" s="64"/>
      <c r="E27" s="3" t="s">
        <v>52</v>
      </c>
      <c r="F27" s="24">
        <v>1267.57</v>
      </c>
      <c r="G27" s="24">
        <v>0</v>
      </c>
      <c r="H27" s="24">
        <f>ROUND(F27*AO27,2)</f>
        <v>0</v>
      </c>
      <c r="I27" s="24">
        <f>ROUND(F27*AP27,2)</f>
        <v>0</v>
      </c>
      <c r="J27" s="24">
        <f>ROUND(F27*G27,2)</f>
        <v>0</v>
      </c>
      <c r="K27" s="25" t="s">
        <v>53</v>
      </c>
      <c r="Z27" s="24">
        <f>ROUND(IF(AQ27="5",BJ27,0),2)</f>
        <v>0</v>
      </c>
      <c r="AB27" s="24">
        <f>ROUND(IF(AQ27="1",BH27,0),2)</f>
        <v>0</v>
      </c>
      <c r="AC27" s="24">
        <f>ROUND(IF(AQ27="1",BI27,0),2)</f>
        <v>0</v>
      </c>
      <c r="AD27" s="24">
        <f>ROUND(IF(AQ27="7",BH27,0),2)</f>
        <v>0</v>
      </c>
      <c r="AE27" s="24">
        <f>ROUND(IF(AQ27="7",BI27,0),2)</f>
        <v>0</v>
      </c>
      <c r="AF27" s="24">
        <f>ROUND(IF(AQ27="2",BH27,0),2)</f>
        <v>0</v>
      </c>
      <c r="AG27" s="24">
        <f>ROUND(IF(AQ27="2",BI27,0),2)</f>
        <v>0</v>
      </c>
      <c r="AH27" s="24">
        <f>ROUND(IF(AQ27="0",BJ27,0),2)</f>
        <v>0</v>
      </c>
      <c r="AI27" s="10" t="s">
        <v>46</v>
      </c>
      <c r="AJ27" s="24">
        <f>IF(AN27=0,J27,0)</f>
        <v>0</v>
      </c>
      <c r="AK27" s="24">
        <f>IF(AN27=12,J27,0)</f>
        <v>0</v>
      </c>
      <c r="AL27" s="24">
        <f>IF(AN27=21,J27,0)</f>
        <v>0</v>
      </c>
      <c r="AN27" s="24">
        <v>12</v>
      </c>
      <c r="AO27" s="24">
        <f>G27*0</f>
        <v>0</v>
      </c>
      <c r="AP27" s="24">
        <f>G27*(1-0)</f>
        <v>0</v>
      </c>
      <c r="AQ27" s="26" t="s">
        <v>49</v>
      </c>
      <c r="AV27" s="24">
        <f>ROUND(AW27+AX27,2)</f>
        <v>0</v>
      </c>
      <c r="AW27" s="24">
        <f>ROUND(F27*AO27,2)</f>
        <v>0</v>
      </c>
      <c r="AX27" s="24">
        <f>ROUND(F27*AP27,2)</f>
        <v>0</v>
      </c>
      <c r="AY27" s="26" t="s">
        <v>99</v>
      </c>
      <c r="AZ27" s="26" t="s">
        <v>100</v>
      </c>
      <c r="BA27" s="10" t="s">
        <v>56</v>
      </c>
      <c r="BC27" s="24">
        <f>AW27+AX27</f>
        <v>0</v>
      </c>
      <c r="BD27" s="24">
        <f>G27/(100-BE27)*100</f>
        <v>0</v>
      </c>
      <c r="BE27" s="24">
        <v>0</v>
      </c>
      <c r="BF27" s="24">
        <f>27</f>
        <v>27</v>
      </c>
      <c r="BH27" s="24">
        <f>F27*AO27</f>
        <v>0</v>
      </c>
      <c r="BI27" s="24">
        <f>F27*AP27</f>
        <v>0</v>
      </c>
      <c r="BJ27" s="24">
        <f>F27*G27</f>
        <v>0</v>
      </c>
      <c r="BK27" s="24"/>
      <c r="BL27" s="24">
        <v>21</v>
      </c>
      <c r="BW27" s="24">
        <v>12</v>
      </c>
      <c r="BX27" s="4" t="s">
        <v>98</v>
      </c>
    </row>
    <row r="28" spans="1:76" x14ac:dyDescent="0.25">
      <c r="A28" s="28" t="s">
        <v>46</v>
      </c>
      <c r="B28" s="29" t="s">
        <v>101</v>
      </c>
      <c r="C28" s="68" t="s">
        <v>102</v>
      </c>
      <c r="D28" s="69"/>
      <c r="E28" s="30" t="s">
        <v>4</v>
      </c>
      <c r="F28" s="30" t="s">
        <v>4</v>
      </c>
      <c r="G28" s="30" t="s">
        <v>4</v>
      </c>
      <c r="H28" s="1">
        <f>SUM(H29:H29)</f>
        <v>0</v>
      </c>
      <c r="I28" s="1">
        <f>SUM(I29:I29)</f>
        <v>0</v>
      </c>
      <c r="J28" s="1">
        <f>SUM(J29:J29)</f>
        <v>0</v>
      </c>
      <c r="K28" s="31" t="s">
        <v>46</v>
      </c>
      <c r="AI28" s="10" t="s">
        <v>46</v>
      </c>
      <c r="AS28" s="1">
        <f>SUM(AJ29:AJ29)</f>
        <v>0</v>
      </c>
      <c r="AT28" s="1">
        <f>SUM(AK29:AK29)</f>
        <v>0</v>
      </c>
      <c r="AU28" s="1">
        <f>SUM(AL29:AL29)</f>
        <v>0</v>
      </c>
    </row>
    <row r="29" spans="1:76" x14ac:dyDescent="0.25">
      <c r="A29" s="2" t="s">
        <v>103</v>
      </c>
      <c r="B29" s="3" t="s">
        <v>104</v>
      </c>
      <c r="C29" s="63" t="s">
        <v>105</v>
      </c>
      <c r="D29" s="64"/>
      <c r="E29" s="3" t="s">
        <v>52</v>
      </c>
      <c r="F29" s="24">
        <v>60.6</v>
      </c>
      <c r="G29" s="24">
        <v>0</v>
      </c>
      <c r="H29" s="24">
        <f>ROUND(F29*AO29,2)</f>
        <v>0</v>
      </c>
      <c r="I29" s="24">
        <f>ROUND(F29*AP29,2)</f>
        <v>0</v>
      </c>
      <c r="J29" s="24">
        <f>ROUND(F29*G29,2)</f>
        <v>0</v>
      </c>
      <c r="K29" s="25" t="s">
        <v>53</v>
      </c>
      <c r="Z29" s="24">
        <f>ROUND(IF(AQ29="5",BJ29,0),2)</f>
        <v>0</v>
      </c>
      <c r="AB29" s="24">
        <f>ROUND(IF(AQ29="1",BH29,0),2)</f>
        <v>0</v>
      </c>
      <c r="AC29" s="24">
        <f>ROUND(IF(AQ29="1",BI29,0),2)</f>
        <v>0</v>
      </c>
      <c r="AD29" s="24">
        <f>ROUND(IF(AQ29="7",BH29,0),2)</f>
        <v>0</v>
      </c>
      <c r="AE29" s="24">
        <f>ROUND(IF(AQ29="7",BI29,0),2)</f>
        <v>0</v>
      </c>
      <c r="AF29" s="24">
        <f>ROUND(IF(AQ29="2",BH29,0),2)</f>
        <v>0</v>
      </c>
      <c r="AG29" s="24">
        <f>ROUND(IF(AQ29="2",BI29,0),2)</f>
        <v>0</v>
      </c>
      <c r="AH29" s="24">
        <f>ROUND(IF(AQ29="0",BJ29,0),2)</f>
        <v>0</v>
      </c>
      <c r="AI29" s="10" t="s">
        <v>46</v>
      </c>
      <c r="AJ29" s="24">
        <f>IF(AN29=0,J29,0)</f>
        <v>0</v>
      </c>
      <c r="AK29" s="24">
        <f>IF(AN29=12,J29,0)</f>
        <v>0</v>
      </c>
      <c r="AL29" s="24">
        <f>IF(AN29=21,J29,0)</f>
        <v>0</v>
      </c>
      <c r="AN29" s="24">
        <v>12</v>
      </c>
      <c r="AO29" s="24">
        <f>G29*0.520597779</f>
        <v>0</v>
      </c>
      <c r="AP29" s="24">
        <f>G29*(1-0.520597779)</f>
        <v>0</v>
      </c>
      <c r="AQ29" s="26" t="s">
        <v>49</v>
      </c>
      <c r="AV29" s="24">
        <f>ROUND(AW29+AX29,2)</f>
        <v>0</v>
      </c>
      <c r="AW29" s="24">
        <f>ROUND(F29*AO29,2)</f>
        <v>0</v>
      </c>
      <c r="AX29" s="24">
        <f>ROUND(F29*AP29,2)</f>
        <v>0</v>
      </c>
      <c r="AY29" s="26" t="s">
        <v>106</v>
      </c>
      <c r="AZ29" s="26" t="s">
        <v>107</v>
      </c>
      <c r="BA29" s="10" t="s">
        <v>56</v>
      </c>
      <c r="BC29" s="24">
        <f>AW29+AX29</f>
        <v>0</v>
      </c>
      <c r="BD29" s="24">
        <f>G29/(100-BE29)*100</f>
        <v>0</v>
      </c>
      <c r="BE29" s="24">
        <v>0</v>
      </c>
      <c r="BF29" s="24">
        <f>29</f>
        <v>29</v>
      </c>
      <c r="BH29" s="24">
        <f>F29*AO29</f>
        <v>0</v>
      </c>
      <c r="BI29" s="24">
        <f>F29*AP29</f>
        <v>0</v>
      </c>
      <c r="BJ29" s="24">
        <f>F29*G29</f>
        <v>0</v>
      </c>
      <c r="BK29" s="24"/>
      <c r="BL29" s="24">
        <v>31</v>
      </c>
      <c r="BW29" s="24">
        <v>12</v>
      </c>
      <c r="BX29" s="4" t="s">
        <v>105</v>
      </c>
    </row>
    <row r="30" spans="1:76" x14ac:dyDescent="0.25">
      <c r="A30" s="28" t="s">
        <v>46</v>
      </c>
      <c r="B30" s="29" t="s">
        <v>108</v>
      </c>
      <c r="C30" s="68" t="s">
        <v>109</v>
      </c>
      <c r="D30" s="69"/>
      <c r="E30" s="30" t="s">
        <v>4</v>
      </c>
      <c r="F30" s="30" t="s">
        <v>4</v>
      </c>
      <c r="G30" s="30" t="s">
        <v>4</v>
      </c>
      <c r="H30" s="1">
        <f>SUM(H31:H31)</f>
        <v>0</v>
      </c>
      <c r="I30" s="1">
        <f>SUM(I31:I31)</f>
        <v>0</v>
      </c>
      <c r="J30" s="1">
        <f>SUM(J31:J31)</f>
        <v>0</v>
      </c>
      <c r="K30" s="31" t="s">
        <v>46</v>
      </c>
      <c r="AI30" s="10" t="s">
        <v>46</v>
      </c>
      <c r="AS30" s="1">
        <f>SUM(AJ31:AJ31)</f>
        <v>0</v>
      </c>
      <c r="AT30" s="1">
        <f>SUM(AK31:AK31)</f>
        <v>0</v>
      </c>
      <c r="AU30" s="1">
        <f>SUM(AL31:AL31)</f>
        <v>0</v>
      </c>
    </row>
    <row r="31" spans="1:76" x14ac:dyDescent="0.25">
      <c r="A31" s="2" t="s">
        <v>64</v>
      </c>
      <c r="B31" s="3" t="s">
        <v>110</v>
      </c>
      <c r="C31" s="63" t="s">
        <v>111</v>
      </c>
      <c r="D31" s="64"/>
      <c r="E31" s="3" t="s">
        <v>69</v>
      </c>
      <c r="F31" s="24">
        <v>14.4313</v>
      </c>
      <c r="G31" s="24">
        <v>0</v>
      </c>
      <c r="H31" s="24">
        <f>ROUND(F31*AO31,2)</f>
        <v>0</v>
      </c>
      <c r="I31" s="24">
        <f>ROUND(F31*AP31,2)</f>
        <v>0</v>
      </c>
      <c r="J31" s="24">
        <f>ROUND(F31*G31,2)</f>
        <v>0</v>
      </c>
      <c r="K31" s="25" t="s">
        <v>53</v>
      </c>
      <c r="Z31" s="24">
        <f>ROUND(IF(AQ31="5",BJ31,0),2)</f>
        <v>0</v>
      </c>
      <c r="AB31" s="24">
        <f>ROUND(IF(AQ31="1",BH31,0),2)</f>
        <v>0</v>
      </c>
      <c r="AC31" s="24">
        <f>ROUND(IF(AQ31="1",BI31,0),2)</f>
        <v>0</v>
      </c>
      <c r="AD31" s="24">
        <f>ROUND(IF(AQ31="7",BH31,0),2)</f>
        <v>0</v>
      </c>
      <c r="AE31" s="24">
        <f>ROUND(IF(AQ31="7",BI31,0),2)</f>
        <v>0</v>
      </c>
      <c r="AF31" s="24">
        <f>ROUND(IF(AQ31="2",BH31,0),2)</f>
        <v>0</v>
      </c>
      <c r="AG31" s="24">
        <f>ROUND(IF(AQ31="2",BI31,0),2)</f>
        <v>0</v>
      </c>
      <c r="AH31" s="24">
        <f>ROUND(IF(AQ31="0",BJ31,0),2)</f>
        <v>0</v>
      </c>
      <c r="AI31" s="10" t="s">
        <v>46</v>
      </c>
      <c r="AJ31" s="24">
        <f>IF(AN31=0,J31,0)</f>
        <v>0</v>
      </c>
      <c r="AK31" s="24">
        <f>IF(AN31=12,J31,0)</f>
        <v>0</v>
      </c>
      <c r="AL31" s="24">
        <f>IF(AN31=21,J31,0)</f>
        <v>0</v>
      </c>
      <c r="AN31" s="24">
        <v>12</v>
      </c>
      <c r="AO31" s="24">
        <f>G31*0.816306137</f>
        <v>0</v>
      </c>
      <c r="AP31" s="24">
        <f>G31*(1-0.816306137)</f>
        <v>0</v>
      </c>
      <c r="AQ31" s="26" t="s">
        <v>49</v>
      </c>
      <c r="AV31" s="24">
        <f>ROUND(AW31+AX31,2)</f>
        <v>0</v>
      </c>
      <c r="AW31" s="24">
        <f>ROUND(F31*AO31,2)</f>
        <v>0</v>
      </c>
      <c r="AX31" s="24">
        <f>ROUND(F31*AP31,2)</f>
        <v>0</v>
      </c>
      <c r="AY31" s="26" t="s">
        <v>112</v>
      </c>
      <c r="AZ31" s="26" t="s">
        <v>113</v>
      </c>
      <c r="BA31" s="10" t="s">
        <v>56</v>
      </c>
      <c r="BC31" s="24">
        <f>AW31+AX31</f>
        <v>0</v>
      </c>
      <c r="BD31" s="24">
        <f>G31/(100-BE31)*100</f>
        <v>0</v>
      </c>
      <c r="BE31" s="24">
        <v>0</v>
      </c>
      <c r="BF31" s="24">
        <f>31</f>
        <v>31</v>
      </c>
      <c r="BH31" s="24">
        <f>F31*AO31</f>
        <v>0</v>
      </c>
      <c r="BI31" s="24">
        <f>F31*AP31</f>
        <v>0</v>
      </c>
      <c r="BJ31" s="24">
        <f>F31*G31</f>
        <v>0</v>
      </c>
      <c r="BK31" s="24"/>
      <c r="BL31" s="24">
        <v>45</v>
      </c>
      <c r="BW31" s="24">
        <v>12</v>
      </c>
      <c r="BX31" s="4" t="s">
        <v>111</v>
      </c>
    </row>
    <row r="32" spans="1:76" x14ac:dyDescent="0.25">
      <c r="A32" s="28" t="s">
        <v>46</v>
      </c>
      <c r="B32" s="29" t="s">
        <v>114</v>
      </c>
      <c r="C32" s="68" t="s">
        <v>115</v>
      </c>
      <c r="D32" s="69"/>
      <c r="E32" s="30" t="s">
        <v>4</v>
      </c>
      <c r="F32" s="30" t="s">
        <v>4</v>
      </c>
      <c r="G32" s="30" t="s">
        <v>4</v>
      </c>
      <c r="H32" s="1">
        <f>SUM(H33:H35)</f>
        <v>0</v>
      </c>
      <c r="I32" s="1">
        <f>SUM(I33:I35)</f>
        <v>0</v>
      </c>
      <c r="J32" s="1">
        <f>SUM(J33:J35)</f>
        <v>0</v>
      </c>
      <c r="K32" s="31" t="s">
        <v>46</v>
      </c>
      <c r="AI32" s="10" t="s">
        <v>46</v>
      </c>
      <c r="AS32" s="1">
        <f>SUM(AJ33:AJ35)</f>
        <v>0</v>
      </c>
      <c r="AT32" s="1">
        <f>SUM(AK33:AK35)</f>
        <v>0</v>
      </c>
      <c r="AU32" s="1">
        <f>SUM(AL33:AL35)</f>
        <v>0</v>
      </c>
    </row>
    <row r="33" spans="1:76" x14ac:dyDescent="0.25">
      <c r="A33" s="2" t="s">
        <v>116</v>
      </c>
      <c r="B33" s="3" t="s">
        <v>117</v>
      </c>
      <c r="C33" s="63" t="s">
        <v>118</v>
      </c>
      <c r="D33" s="64"/>
      <c r="E33" s="3" t="s">
        <v>52</v>
      </c>
      <c r="F33" s="24">
        <v>1267.57</v>
      </c>
      <c r="G33" s="24">
        <v>0</v>
      </c>
      <c r="H33" s="24">
        <f>ROUND(F33*AO33,2)</f>
        <v>0</v>
      </c>
      <c r="I33" s="24">
        <f>ROUND(F33*AP33,2)</f>
        <v>0</v>
      </c>
      <c r="J33" s="24">
        <f>ROUND(F33*G33,2)</f>
        <v>0</v>
      </c>
      <c r="K33" s="25" t="s">
        <v>53</v>
      </c>
      <c r="Z33" s="24">
        <f>ROUND(IF(AQ33="5",BJ33,0),2)</f>
        <v>0</v>
      </c>
      <c r="AB33" s="24">
        <f>ROUND(IF(AQ33="1",BH33,0),2)</f>
        <v>0</v>
      </c>
      <c r="AC33" s="24">
        <f>ROUND(IF(AQ33="1",BI33,0),2)</f>
        <v>0</v>
      </c>
      <c r="AD33" s="24">
        <f>ROUND(IF(AQ33="7",BH33,0),2)</f>
        <v>0</v>
      </c>
      <c r="AE33" s="24">
        <f>ROUND(IF(AQ33="7",BI33,0),2)</f>
        <v>0</v>
      </c>
      <c r="AF33" s="24">
        <f>ROUND(IF(AQ33="2",BH33,0),2)</f>
        <v>0</v>
      </c>
      <c r="AG33" s="24">
        <f>ROUND(IF(AQ33="2",BI33,0),2)</f>
        <v>0</v>
      </c>
      <c r="AH33" s="24">
        <f>ROUND(IF(AQ33="0",BJ33,0),2)</f>
        <v>0</v>
      </c>
      <c r="AI33" s="10" t="s">
        <v>46</v>
      </c>
      <c r="AJ33" s="24">
        <f>IF(AN33=0,J33,0)</f>
        <v>0</v>
      </c>
      <c r="AK33" s="24">
        <f>IF(AN33=12,J33,0)</f>
        <v>0</v>
      </c>
      <c r="AL33" s="24">
        <f>IF(AN33=21,J33,0)</f>
        <v>0</v>
      </c>
      <c r="AN33" s="24">
        <v>12</v>
      </c>
      <c r="AO33" s="24">
        <f>G33*0.812689044</f>
        <v>0</v>
      </c>
      <c r="AP33" s="24">
        <f>G33*(1-0.812689044)</f>
        <v>0</v>
      </c>
      <c r="AQ33" s="26" t="s">
        <v>49</v>
      </c>
      <c r="AV33" s="24">
        <f>ROUND(AW33+AX33,2)</f>
        <v>0</v>
      </c>
      <c r="AW33" s="24">
        <f>ROUND(F33*AO33,2)</f>
        <v>0</v>
      </c>
      <c r="AX33" s="24">
        <f>ROUND(F33*AP33,2)</f>
        <v>0</v>
      </c>
      <c r="AY33" s="26" t="s">
        <v>119</v>
      </c>
      <c r="AZ33" s="26" t="s">
        <v>120</v>
      </c>
      <c r="BA33" s="10" t="s">
        <v>56</v>
      </c>
      <c r="BC33" s="24">
        <f>AW33+AX33</f>
        <v>0</v>
      </c>
      <c r="BD33" s="24">
        <f>G33/(100-BE33)*100</f>
        <v>0</v>
      </c>
      <c r="BE33" s="24">
        <v>0</v>
      </c>
      <c r="BF33" s="24">
        <f>33</f>
        <v>33</v>
      </c>
      <c r="BH33" s="24">
        <f>F33*AO33</f>
        <v>0</v>
      </c>
      <c r="BI33" s="24">
        <f>F33*AP33</f>
        <v>0</v>
      </c>
      <c r="BJ33" s="24">
        <f>F33*G33</f>
        <v>0</v>
      </c>
      <c r="BK33" s="24"/>
      <c r="BL33" s="24">
        <v>56</v>
      </c>
      <c r="BW33" s="24">
        <v>12</v>
      </c>
      <c r="BX33" s="4" t="s">
        <v>118</v>
      </c>
    </row>
    <row r="34" spans="1:76" x14ac:dyDescent="0.25">
      <c r="A34" s="2" t="s">
        <v>74</v>
      </c>
      <c r="B34" s="3" t="s">
        <v>121</v>
      </c>
      <c r="C34" s="63" t="s">
        <v>122</v>
      </c>
      <c r="D34" s="64"/>
      <c r="E34" s="3" t="s">
        <v>52</v>
      </c>
      <c r="F34" s="24">
        <v>1267.57</v>
      </c>
      <c r="G34" s="24">
        <v>0</v>
      </c>
      <c r="H34" s="24">
        <f>ROUND(F34*AO34,2)</f>
        <v>0</v>
      </c>
      <c r="I34" s="24">
        <f>ROUND(F34*AP34,2)</f>
        <v>0</v>
      </c>
      <c r="J34" s="24">
        <f>ROUND(F34*G34,2)</f>
        <v>0</v>
      </c>
      <c r="K34" s="25" t="s">
        <v>53</v>
      </c>
      <c r="Z34" s="24">
        <f>ROUND(IF(AQ34="5",BJ34,0),2)</f>
        <v>0</v>
      </c>
      <c r="AB34" s="24">
        <f>ROUND(IF(AQ34="1",BH34,0),2)</f>
        <v>0</v>
      </c>
      <c r="AC34" s="24">
        <f>ROUND(IF(AQ34="1",BI34,0),2)</f>
        <v>0</v>
      </c>
      <c r="AD34" s="24">
        <f>ROUND(IF(AQ34="7",BH34,0),2)</f>
        <v>0</v>
      </c>
      <c r="AE34" s="24">
        <f>ROUND(IF(AQ34="7",BI34,0),2)</f>
        <v>0</v>
      </c>
      <c r="AF34" s="24">
        <f>ROUND(IF(AQ34="2",BH34,0),2)</f>
        <v>0</v>
      </c>
      <c r="AG34" s="24">
        <f>ROUND(IF(AQ34="2",BI34,0),2)</f>
        <v>0</v>
      </c>
      <c r="AH34" s="24">
        <f>ROUND(IF(AQ34="0",BJ34,0),2)</f>
        <v>0</v>
      </c>
      <c r="AI34" s="10" t="s">
        <v>46</v>
      </c>
      <c r="AJ34" s="24">
        <f>IF(AN34=0,J34,0)</f>
        <v>0</v>
      </c>
      <c r="AK34" s="24">
        <f>IF(AN34=12,J34,0)</f>
        <v>0</v>
      </c>
      <c r="AL34" s="24">
        <f>IF(AN34=21,J34,0)</f>
        <v>0</v>
      </c>
      <c r="AN34" s="24">
        <v>12</v>
      </c>
      <c r="AO34" s="24">
        <f>G34*0.925148027</f>
        <v>0</v>
      </c>
      <c r="AP34" s="24">
        <f>G34*(1-0.925148027)</f>
        <v>0</v>
      </c>
      <c r="AQ34" s="26" t="s">
        <v>49</v>
      </c>
      <c r="AV34" s="24">
        <f>ROUND(AW34+AX34,2)</f>
        <v>0</v>
      </c>
      <c r="AW34" s="24">
        <f>ROUND(F34*AO34,2)</f>
        <v>0</v>
      </c>
      <c r="AX34" s="24">
        <f>ROUND(F34*AP34,2)</f>
        <v>0</v>
      </c>
      <c r="AY34" s="26" t="s">
        <v>119</v>
      </c>
      <c r="AZ34" s="26" t="s">
        <v>120</v>
      </c>
      <c r="BA34" s="10" t="s">
        <v>56</v>
      </c>
      <c r="BC34" s="24">
        <f>AW34+AX34</f>
        <v>0</v>
      </c>
      <c r="BD34" s="24">
        <f>G34/(100-BE34)*100</f>
        <v>0</v>
      </c>
      <c r="BE34" s="24">
        <v>0</v>
      </c>
      <c r="BF34" s="24">
        <f>34</f>
        <v>34</v>
      </c>
      <c r="BH34" s="24">
        <f>F34*AO34</f>
        <v>0</v>
      </c>
      <c r="BI34" s="24">
        <f>F34*AP34</f>
        <v>0</v>
      </c>
      <c r="BJ34" s="24">
        <f>F34*G34</f>
        <v>0</v>
      </c>
      <c r="BK34" s="24"/>
      <c r="BL34" s="24">
        <v>56</v>
      </c>
      <c r="BW34" s="24">
        <v>12</v>
      </c>
      <c r="BX34" s="4" t="s">
        <v>122</v>
      </c>
    </row>
    <row r="35" spans="1:76" x14ac:dyDescent="0.25">
      <c r="A35" s="2" t="s">
        <v>123</v>
      </c>
      <c r="B35" s="3" t="s">
        <v>124</v>
      </c>
      <c r="C35" s="63" t="s">
        <v>125</v>
      </c>
      <c r="D35" s="64"/>
      <c r="E35" s="3" t="s">
        <v>52</v>
      </c>
      <c r="F35" s="24">
        <v>1267.57</v>
      </c>
      <c r="G35" s="24">
        <v>0</v>
      </c>
      <c r="H35" s="24">
        <f>ROUND(F35*AO35,2)</f>
        <v>0</v>
      </c>
      <c r="I35" s="24">
        <f>ROUND(F35*AP35,2)</f>
        <v>0</v>
      </c>
      <c r="J35" s="24">
        <f>ROUND(F35*G35,2)</f>
        <v>0</v>
      </c>
      <c r="K35" s="25" t="s">
        <v>53</v>
      </c>
      <c r="Z35" s="24">
        <f>ROUND(IF(AQ35="5",BJ35,0),2)</f>
        <v>0</v>
      </c>
      <c r="AB35" s="24">
        <f>ROUND(IF(AQ35="1",BH35,0),2)</f>
        <v>0</v>
      </c>
      <c r="AC35" s="24">
        <f>ROUND(IF(AQ35="1",BI35,0),2)</f>
        <v>0</v>
      </c>
      <c r="AD35" s="24">
        <f>ROUND(IF(AQ35="7",BH35,0),2)</f>
        <v>0</v>
      </c>
      <c r="AE35" s="24">
        <f>ROUND(IF(AQ35="7",BI35,0),2)</f>
        <v>0</v>
      </c>
      <c r="AF35" s="24">
        <f>ROUND(IF(AQ35="2",BH35,0),2)</f>
        <v>0</v>
      </c>
      <c r="AG35" s="24">
        <f>ROUND(IF(AQ35="2",BI35,0),2)</f>
        <v>0</v>
      </c>
      <c r="AH35" s="24">
        <f>ROUND(IF(AQ35="0",BJ35,0),2)</f>
        <v>0</v>
      </c>
      <c r="AI35" s="10" t="s">
        <v>46</v>
      </c>
      <c r="AJ35" s="24">
        <f>IF(AN35=0,J35,0)</f>
        <v>0</v>
      </c>
      <c r="AK35" s="24">
        <f>IF(AN35=12,J35,0)</f>
        <v>0</v>
      </c>
      <c r="AL35" s="24">
        <f>IF(AN35=21,J35,0)</f>
        <v>0</v>
      </c>
      <c r="AN35" s="24">
        <v>12</v>
      </c>
      <c r="AO35" s="24">
        <f>G35*0.815320319</f>
        <v>0</v>
      </c>
      <c r="AP35" s="24">
        <f>G35*(1-0.815320319)</f>
        <v>0</v>
      </c>
      <c r="AQ35" s="26" t="s">
        <v>49</v>
      </c>
      <c r="AV35" s="24">
        <f>ROUND(AW35+AX35,2)</f>
        <v>0</v>
      </c>
      <c r="AW35" s="24">
        <f>ROUND(F35*AO35,2)</f>
        <v>0</v>
      </c>
      <c r="AX35" s="24">
        <f>ROUND(F35*AP35,2)</f>
        <v>0</v>
      </c>
      <c r="AY35" s="26" t="s">
        <v>119</v>
      </c>
      <c r="AZ35" s="26" t="s">
        <v>120</v>
      </c>
      <c r="BA35" s="10" t="s">
        <v>56</v>
      </c>
      <c r="BC35" s="24">
        <f>AW35+AX35</f>
        <v>0</v>
      </c>
      <c r="BD35" s="24">
        <f>G35/(100-BE35)*100</f>
        <v>0</v>
      </c>
      <c r="BE35" s="24">
        <v>0</v>
      </c>
      <c r="BF35" s="24">
        <f>35</f>
        <v>35</v>
      </c>
      <c r="BH35" s="24">
        <f>F35*AO35</f>
        <v>0</v>
      </c>
      <c r="BI35" s="24">
        <f>F35*AP35</f>
        <v>0</v>
      </c>
      <c r="BJ35" s="24">
        <f>F35*G35</f>
        <v>0</v>
      </c>
      <c r="BK35" s="24"/>
      <c r="BL35" s="24">
        <v>56</v>
      </c>
      <c r="BW35" s="24">
        <v>12</v>
      </c>
      <c r="BX35" s="4" t="s">
        <v>125</v>
      </c>
    </row>
    <row r="36" spans="1:76" x14ac:dyDescent="0.25">
      <c r="A36" s="28" t="s">
        <v>46</v>
      </c>
      <c r="B36" s="29" t="s">
        <v>126</v>
      </c>
      <c r="C36" s="68" t="s">
        <v>127</v>
      </c>
      <c r="D36" s="69"/>
      <c r="E36" s="30" t="s">
        <v>4</v>
      </c>
      <c r="F36" s="30" t="s">
        <v>4</v>
      </c>
      <c r="G36" s="30" t="s">
        <v>4</v>
      </c>
      <c r="H36" s="1">
        <f>SUM(H37:H38)</f>
        <v>0</v>
      </c>
      <c r="I36" s="1">
        <f>SUM(I37:I38)</f>
        <v>0</v>
      </c>
      <c r="J36" s="1">
        <f>SUM(J37:J38)</f>
        <v>0</v>
      </c>
      <c r="K36" s="31" t="s">
        <v>46</v>
      </c>
      <c r="AI36" s="10" t="s">
        <v>46</v>
      </c>
      <c r="AS36" s="1">
        <f>SUM(AJ37:AJ38)</f>
        <v>0</v>
      </c>
      <c r="AT36" s="1">
        <f>SUM(AK37:AK38)</f>
        <v>0</v>
      </c>
      <c r="AU36" s="1">
        <f>SUM(AL37:AL38)</f>
        <v>0</v>
      </c>
    </row>
    <row r="37" spans="1:76" x14ac:dyDescent="0.25">
      <c r="A37" s="2" t="s">
        <v>86</v>
      </c>
      <c r="B37" s="3" t="s">
        <v>128</v>
      </c>
      <c r="C37" s="63" t="s">
        <v>129</v>
      </c>
      <c r="D37" s="64"/>
      <c r="E37" s="3" t="s">
        <v>52</v>
      </c>
      <c r="F37" s="24">
        <v>1238.55</v>
      </c>
      <c r="G37" s="24">
        <v>0</v>
      </c>
      <c r="H37" s="24">
        <f>ROUND(F37*AO37,2)</f>
        <v>0</v>
      </c>
      <c r="I37" s="24">
        <f>ROUND(F37*AP37,2)</f>
        <v>0</v>
      </c>
      <c r="J37" s="24">
        <f>ROUND(F37*G37,2)</f>
        <v>0</v>
      </c>
      <c r="K37" s="25" t="s">
        <v>53</v>
      </c>
      <c r="Z37" s="24">
        <f>ROUND(IF(AQ37="5",BJ37,0),2)</f>
        <v>0</v>
      </c>
      <c r="AB37" s="24">
        <f>ROUND(IF(AQ37="1",BH37,0),2)</f>
        <v>0</v>
      </c>
      <c r="AC37" s="24">
        <f>ROUND(IF(AQ37="1",BI37,0),2)</f>
        <v>0</v>
      </c>
      <c r="AD37" s="24">
        <f>ROUND(IF(AQ37="7",BH37,0),2)</f>
        <v>0</v>
      </c>
      <c r="AE37" s="24">
        <f>ROUND(IF(AQ37="7",BI37,0),2)</f>
        <v>0</v>
      </c>
      <c r="AF37" s="24">
        <f>ROUND(IF(AQ37="2",BH37,0),2)</f>
        <v>0</v>
      </c>
      <c r="AG37" s="24">
        <f>ROUND(IF(AQ37="2",BI37,0),2)</f>
        <v>0</v>
      </c>
      <c r="AH37" s="24">
        <f>ROUND(IF(AQ37="0",BJ37,0),2)</f>
        <v>0</v>
      </c>
      <c r="AI37" s="10" t="s">
        <v>46</v>
      </c>
      <c r="AJ37" s="24">
        <f>IF(AN37=0,J37,0)</f>
        <v>0</v>
      </c>
      <c r="AK37" s="24">
        <f>IF(AN37=12,J37,0)</f>
        <v>0</v>
      </c>
      <c r="AL37" s="24">
        <f>IF(AN37=21,J37,0)</f>
        <v>0</v>
      </c>
      <c r="AN37" s="24">
        <v>12</v>
      </c>
      <c r="AO37" s="24">
        <f>G37*0.137651412</f>
        <v>0</v>
      </c>
      <c r="AP37" s="24">
        <f>G37*(1-0.137651412)</f>
        <v>0</v>
      </c>
      <c r="AQ37" s="26" t="s">
        <v>49</v>
      </c>
      <c r="AV37" s="24">
        <f>ROUND(AW37+AX37,2)</f>
        <v>0</v>
      </c>
      <c r="AW37" s="24">
        <f>ROUND(F37*AO37,2)</f>
        <v>0</v>
      </c>
      <c r="AX37" s="24">
        <f>ROUND(F37*AP37,2)</f>
        <v>0</v>
      </c>
      <c r="AY37" s="26" t="s">
        <v>130</v>
      </c>
      <c r="AZ37" s="26" t="s">
        <v>120</v>
      </c>
      <c r="BA37" s="10" t="s">
        <v>56</v>
      </c>
      <c r="BC37" s="24">
        <f>AW37+AX37</f>
        <v>0</v>
      </c>
      <c r="BD37" s="24">
        <f>G37/(100-BE37)*100</f>
        <v>0</v>
      </c>
      <c r="BE37" s="24">
        <v>0</v>
      </c>
      <c r="BF37" s="24">
        <f>37</f>
        <v>37</v>
      </c>
      <c r="BH37" s="24">
        <f>F37*AO37</f>
        <v>0</v>
      </c>
      <c r="BI37" s="24">
        <f>F37*AP37</f>
        <v>0</v>
      </c>
      <c r="BJ37" s="24">
        <f>F37*G37</f>
        <v>0</v>
      </c>
      <c r="BK37" s="24"/>
      <c r="BL37" s="24">
        <v>59</v>
      </c>
      <c r="BW37" s="24">
        <v>12</v>
      </c>
      <c r="BX37" s="4" t="s">
        <v>129</v>
      </c>
    </row>
    <row r="38" spans="1:76" x14ac:dyDescent="0.25">
      <c r="A38" s="2" t="s">
        <v>131</v>
      </c>
      <c r="B38" s="3" t="s">
        <v>132</v>
      </c>
      <c r="C38" s="63" t="s">
        <v>133</v>
      </c>
      <c r="D38" s="64"/>
      <c r="E38" s="3" t="s">
        <v>60</v>
      </c>
      <c r="F38" s="24">
        <v>234.42</v>
      </c>
      <c r="G38" s="24">
        <v>0</v>
      </c>
      <c r="H38" s="24">
        <f>ROUND(F38*AO38,2)</f>
        <v>0</v>
      </c>
      <c r="I38" s="24">
        <f>ROUND(F38*AP38,2)</f>
        <v>0</v>
      </c>
      <c r="J38" s="24">
        <f>ROUND(F38*G38,2)</f>
        <v>0</v>
      </c>
      <c r="K38" s="25" t="s">
        <v>53</v>
      </c>
      <c r="Z38" s="24">
        <f>ROUND(IF(AQ38="5",BJ38,0),2)</f>
        <v>0</v>
      </c>
      <c r="AB38" s="24">
        <f>ROUND(IF(AQ38="1",BH38,0),2)</f>
        <v>0</v>
      </c>
      <c r="AC38" s="24">
        <f>ROUND(IF(AQ38="1",BI38,0),2)</f>
        <v>0</v>
      </c>
      <c r="AD38" s="24">
        <f>ROUND(IF(AQ38="7",BH38,0),2)</f>
        <v>0</v>
      </c>
      <c r="AE38" s="24">
        <f>ROUND(IF(AQ38="7",BI38,0),2)</f>
        <v>0</v>
      </c>
      <c r="AF38" s="24">
        <f>ROUND(IF(AQ38="2",BH38,0),2)</f>
        <v>0</v>
      </c>
      <c r="AG38" s="24">
        <f>ROUND(IF(AQ38="2",BI38,0),2)</f>
        <v>0</v>
      </c>
      <c r="AH38" s="24">
        <f>ROUND(IF(AQ38="0",BJ38,0),2)</f>
        <v>0</v>
      </c>
      <c r="AI38" s="10" t="s">
        <v>46</v>
      </c>
      <c r="AJ38" s="24">
        <f>IF(AN38=0,J38,0)</f>
        <v>0</v>
      </c>
      <c r="AK38" s="24">
        <f>IF(AN38=12,J38,0)</f>
        <v>0</v>
      </c>
      <c r="AL38" s="24">
        <f>IF(AN38=21,J38,0)</f>
        <v>0</v>
      </c>
      <c r="AN38" s="24">
        <v>12</v>
      </c>
      <c r="AO38" s="24">
        <f>G38*0.051175583</f>
        <v>0</v>
      </c>
      <c r="AP38" s="24">
        <f>G38*(1-0.051175583)</f>
        <v>0</v>
      </c>
      <c r="AQ38" s="26" t="s">
        <v>49</v>
      </c>
      <c r="AV38" s="24">
        <f>ROUND(AW38+AX38,2)</f>
        <v>0</v>
      </c>
      <c r="AW38" s="24">
        <f>ROUND(F38*AO38,2)</f>
        <v>0</v>
      </c>
      <c r="AX38" s="24">
        <f>ROUND(F38*AP38,2)</f>
        <v>0</v>
      </c>
      <c r="AY38" s="26" t="s">
        <v>130</v>
      </c>
      <c r="AZ38" s="26" t="s">
        <v>120</v>
      </c>
      <c r="BA38" s="10" t="s">
        <v>56</v>
      </c>
      <c r="BC38" s="24">
        <f>AW38+AX38</f>
        <v>0</v>
      </c>
      <c r="BD38" s="24">
        <f>G38/(100-BE38)*100</f>
        <v>0</v>
      </c>
      <c r="BE38" s="24">
        <v>0</v>
      </c>
      <c r="BF38" s="24">
        <f>38</f>
        <v>38</v>
      </c>
      <c r="BH38" s="24">
        <f>F38*AO38</f>
        <v>0</v>
      </c>
      <c r="BI38" s="24">
        <f>F38*AP38</f>
        <v>0</v>
      </c>
      <c r="BJ38" s="24">
        <f>F38*G38</f>
        <v>0</v>
      </c>
      <c r="BK38" s="24"/>
      <c r="BL38" s="24">
        <v>59</v>
      </c>
      <c r="BW38" s="24">
        <v>12</v>
      </c>
      <c r="BX38" s="4" t="s">
        <v>133</v>
      </c>
    </row>
    <row r="39" spans="1:76" x14ac:dyDescent="0.25">
      <c r="A39" s="28" t="s">
        <v>46</v>
      </c>
      <c r="B39" s="29" t="s">
        <v>134</v>
      </c>
      <c r="C39" s="68" t="s">
        <v>135</v>
      </c>
      <c r="D39" s="69"/>
      <c r="E39" s="30" t="s">
        <v>4</v>
      </c>
      <c r="F39" s="30" t="s">
        <v>4</v>
      </c>
      <c r="G39" s="30" t="s">
        <v>4</v>
      </c>
      <c r="H39" s="1">
        <f>SUM(H40:H40)</f>
        <v>0</v>
      </c>
      <c r="I39" s="1">
        <f>SUM(I40:I40)</f>
        <v>0</v>
      </c>
      <c r="J39" s="1">
        <f>SUM(J40:J40)</f>
        <v>0</v>
      </c>
      <c r="K39" s="31" t="s">
        <v>46</v>
      </c>
      <c r="AI39" s="10" t="s">
        <v>46</v>
      </c>
      <c r="AS39" s="1">
        <f>SUM(AJ40:AJ40)</f>
        <v>0</v>
      </c>
      <c r="AT39" s="1">
        <f>SUM(AK40:AK40)</f>
        <v>0</v>
      </c>
      <c r="AU39" s="1">
        <f>SUM(AL40:AL40)</f>
        <v>0</v>
      </c>
    </row>
    <row r="40" spans="1:76" x14ac:dyDescent="0.25">
      <c r="A40" s="2" t="s">
        <v>136</v>
      </c>
      <c r="B40" s="3" t="s">
        <v>137</v>
      </c>
      <c r="C40" s="63" t="s">
        <v>138</v>
      </c>
      <c r="D40" s="64"/>
      <c r="E40" s="3" t="s">
        <v>139</v>
      </c>
      <c r="F40" s="24">
        <v>10</v>
      </c>
      <c r="G40" s="24">
        <v>0</v>
      </c>
      <c r="H40" s="24">
        <f>ROUND(F40*AO40,2)</f>
        <v>0</v>
      </c>
      <c r="I40" s="24">
        <f>ROUND(F40*AP40,2)</f>
        <v>0</v>
      </c>
      <c r="J40" s="24">
        <f>ROUND(F40*G40,2)</f>
        <v>0</v>
      </c>
      <c r="K40" s="25" t="s">
        <v>53</v>
      </c>
      <c r="Z40" s="24">
        <f>ROUND(IF(AQ40="5",BJ40,0),2)</f>
        <v>0</v>
      </c>
      <c r="AB40" s="24">
        <f>ROUND(IF(AQ40="1",BH40,0),2)</f>
        <v>0</v>
      </c>
      <c r="AC40" s="24">
        <f>ROUND(IF(AQ40="1",BI40,0),2)</f>
        <v>0</v>
      </c>
      <c r="AD40" s="24">
        <f>ROUND(IF(AQ40="7",BH40,0),2)</f>
        <v>0</v>
      </c>
      <c r="AE40" s="24">
        <f>ROUND(IF(AQ40="7",BI40,0),2)</f>
        <v>0</v>
      </c>
      <c r="AF40" s="24">
        <f>ROUND(IF(AQ40="2",BH40,0),2)</f>
        <v>0</v>
      </c>
      <c r="AG40" s="24">
        <f>ROUND(IF(AQ40="2",BI40,0),2)</f>
        <v>0</v>
      </c>
      <c r="AH40" s="24">
        <f>ROUND(IF(AQ40="0",BJ40,0),2)</f>
        <v>0</v>
      </c>
      <c r="AI40" s="10" t="s">
        <v>46</v>
      </c>
      <c r="AJ40" s="24">
        <f>IF(AN40=0,J40,0)</f>
        <v>0</v>
      </c>
      <c r="AK40" s="24">
        <f>IF(AN40=12,J40,0)</f>
        <v>0</v>
      </c>
      <c r="AL40" s="24">
        <f>IF(AN40=21,J40,0)</f>
        <v>0</v>
      </c>
      <c r="AN40" s="24">
        <v>12</v>
      </c>
      <c r="AO40" s="24">
        <f>G40*0</f>
        <v>0</v>
      </c>
      <c r="AP40" s="24">
        <f>G40*(1-0)</f>
        <v>0</v>
      </c>
      <c r="AQ40" s="26" t="s">
        <v>80</v>
      </c>
      <c r="AV40" s="24">
        <f>ROUND(AW40+AX40,2)</f>
        <v>0</v>
      </c>
      <c r="AW40" s="24">
        <f>ROUND(F40*AO40,2)</f>
        <v>0</v>
      </c>
      <c r="AX40" s="24">
        <f>ROUND(F40*AP40,2)</f>
        <v>0</v>
      </c>
      <c r="AY40" s="26" t="s">
        <v>140</v>
      </c>
      <c r="AZ40" s="26" t="s">
        <v>141</v>
      </c>
      <c r="BA40" s="10" t="s">
        <v>56</v>
      </c>
      <c r="BC40" s="24">
        <f>AW40+AX40</f>
        <v>0</v>
      </c>
      <c r="BD40" s="24">
        <f>G40/(100-BE40)*100</f>
        <v>0</v>
      </c>
      <c r="BE40" s="24">
        <v>0</v>
      </c>
      <c r="BF40" s="24">
        <f>40</f>
        <v>40</v>
      </c>
      <c r="BH40" s="24">
        <f>F40*AO40</f>
        <v>0</v>
      </c>
      <c r="BI40" s="24">
        <f>F40*AP40</f>
        <v>0</v>
      </c>
      <c r="BJ40" s="24">
        <f>F40*G40</f>
        <v>0</v>
      </c>
      <c r="BK40" s="24"/>
      <c r="BL40" s="24">
        <v>721</v>
      </c>
      <c r="BW40" s="24">
        <v>12</v>
      </c>
      <c r="BX40" s="4" t="s">
        <v>138</v>
      </c>
    </row>
    <row r="41" spans="1:76" x14ac:dyDescent="0.25">
      <c r="A41" s="28" t="s">
        <v>46</v>
      </c>
      <c r="B41" s="29" t="s">
        <v>142</v>
      </c>
      <c r="C41" s="68" t="s">
        <v>143</v>
      </c>
      <c r="D41" s="69"/>
      <c r="E41" s="30" t="s">
        <v>4</v>
      </c>
      <c r="F41" s="30" t="s">
        <v>4</v>
      </c>
      <c r="G41" s="30" t="s">
        <v>4</v>
      </c>
      <c r="H41" s="1">
        <f>SUM(H42:H42)</f>
        <v>0</v>
      </c>
      <c r="I41" s="1">
        <f>SUM(I42:I42)</f>
        <v>0</v>
      </c>
      <c r="J41" s="1">
        <f>SUM(J42:J42)</f>
        <v>0</v>
      </c>
      <c r="K41" s="31" t="s">
        <v>46</v>
      </c>
      <c r="AI41" s="10" t="s">
        <v>46</v>
      </c>
      <c r="AS41" s="1">
        <f>SUM(AJ42:AJ42)</f>
        <v>0</v>
      </c>
      <c r="AT41" s="1">
        <f>SUM(AK42:AK42)</f>
        <v>0</v>
      </c>
      <c r="AU41" s="1">
        <f>SUM(AL42:AL42)</f>
        <v>0</v>
      </c>
    </row>
    <row r="42" spans="1:76" x14ac:dyDescent="0.25">
      <c r="A42" s="2" t="s">
        <v>144</v>
      </c>
      <c r="B42" s="3" t="s">
        <v>145</v>
      </c>
      <c r="C42" s="63" t="s">
        <v>146</v>
      </c>
      <c r="D42" s="64"/>
      <c r="E42" s="3" t="s">
        <v>60</v>
      </c>
      <c r="F42" s="24">
        <v>116.795</v>
      </c>
      <c r="G42" s="24">
        <v>0</v>
      </c>
      <c r="H42" s="24">
        <f>ROUND(F42*AO42,2)</f>
        <v>0</v>
      </c>
      <c r="I42" s="24">
        <f>ROUND(F42*AP42,2)</f>
        <v>0</v>
      </c>
      <c r="J42" s="24">
        <f>ROUND(F42*G42,2)</f>
        <v>0</v>
      </c>
      <c r="K42" s="25" t="s">
        <v>53</v>
      </c>
      <c r="Z42" s="24">
        <f>ROUND(IF(AQ42="5",BJ42,0),2)</f>
        <v>0</v>
      </c>
      <c r="AB42" s="24">
        <f>ROUND(IF(AQ42="1",BH42,0),2)</f>
        <v>0</v>
      </c>
      <c r="AC42" s="24">
        <f>ROUND(IF(AQ42="1",BI42,0),2)</f>
        <v>0</v>
      </c>
      <c r="AD42" s="24">
        <f>ROUND(IF(AQ42="7",BH42,0),2)</f>
        <v>0</v>
      </c>
      <c r="AE42" s="24">
        <f>ROUND(IF(AQ42="7",BI42,0),2)</f>
        <v>0</v>
      </c>
      <c r="AF42" s="24">
        <f>ROUND(IF(AQ42="2",BH42,0),2)</f>
        <v>0</v>
      </c>
      <c r="AG42" s="24">
        <f>ROUND(IF(AQ42="2",BI42,0),2)</f>
        <v>0</v>
      </c>
      <c r="AH42" s="24">
        <f>ROUND(IF(AQ42="0",BJ42,0),2)</f>
        <v>0</v>
      </c>
      <c r="AI42" s="10" t="s">
        <v>46</v>
      </c>
      <c r="AJ42" s="24">
        <f>IF(AN42=0,J42,0)</f>
        <v>0</v>
      </c>
      <c r="AK42" s="24">
        <f>IF(AN42=12,J42,0)</f>
        <v>0</v>
      </c>
      <c r="AL42" s="24">
        <f>IF(AN42=21,J42,0)</f>
        <v>0</v>
      </c>
      <c r="AN42" s="24">
        <v>12</v>
      </c>
      <c r="AO42" s="24">
        <f>G42*0.711424703</f>
        <v>0</v>
      </c>
      <c r="AP42" s="24">
        <f>G42*(1-0.711424703)</f>
        <v>0</v>
      </c>
      <c r="AQ42" s="26" t="s">
        <v>49</v>
      </c>
      <c r="AV42" s="24">
        <f>ROUND(AW42+AX42,2)</f>
        <v>0</v>
      </c>
      <c r="AW42" s="24">
        <f>ROUND(F42*AO42,2)</f>
        <v>0</v>
      </c>
      <c r="AX42" s="24">
        <f>ROUND(F42*AP42,2)</f>
        <v>0</v>
      </c>
      <c r="AY42" s="26" t="s">
        <v>147</v>
      </c>
      <c r="AZ42" s="26" t="s">
        <v>148</v>
      </c>
      <c r="BA42" s="10" t="s">
        <v>56</v>
      </c>
      <c r="BC42" s="24">
        <f>AW42+AX42</f>
        <v>0</v>
      </c>
      <c r="BD42" s="24">
        <f>G42/(100-BE42)*100</f>
        <v>0</v>
      </c>
      <c r="BE42" s="24">
        <v>0</v>
      </c>
      <c r="BF42" s="24">
        <f>42</f>
        <v>42</v>
      </c>
      <c r="BH42" s="24">
        <f>F42*AO42</f>
        <v>0</v>
      </c>
      <c r="BI42" s="24">
        <f>F42*AP42</f>
        <v>0</v>
      </c>
      <c r="BJ42" s="24">
        <f>F42*G42</f>
        <v>0</v>
      </c>
      <c r="BK42" s="24"/>
      <c r="BL42" s="24">
        <v>82</v>
      </c>
      <c r="BW42" s="24">
        <v>12</v>
      </c>
      <c r="BX42" s="4" t="s">
        <v>146</v>
      </c>
    </row>
    <row r="43" spans="1:76" x14ac:dyDescent="0.25">
      <c r="A43" s="28" t="s">
        <v>46</v>
      </c>
      <c r="B43" s="29" t="s">
        <v>149</v>
      </c>
      <c r="C43" s="68" t="s">
        <v>150</v>
      </c>
      <c r="D43" s="69"/>
      <c r="E43" s="30" t="s">
        <v>4</v>
      </c>
      <c r="F43" s="30" t="s">
        <v>4</v>
      </c>
      <c r="G43" s="30" t="s">
        <v>4</v>
      </c>
      <c r="H43" s="1">
        <f>SUM(H44:H46)</f>
        <v>0</v>
      </c>
      <c r="I43" s="1">
        <f>SUM(I44:I46)</f>
        <v>0</v>
      </c>
      <c r="J43" s="1">
        <f>SUM(J44:J46)</f>
        <v>0</v>
      </c>
      <c r="K43" s="31" t="s">
        <v>46</v>
      </c>
      <c r="AI43" s="10" t="s">
        <v>46</v>
      </c>
      <c r="AS43" s="1">
        <f>SUM(AJ44:AJ46)</f>
        <v>0</v>
      </c>
      <c r="AT43" s="1">
        <f>SUM(AK44:AK46)</f>
        <v>0</v>
      </c>
      <c r="AU43" s="1">
        <f>SUM(AL44:AL46)</f>
        <v>0</v>
      </c>
    </row>
    <row r="44" spans="1:76" x14ac:dyDescent="0.25">
      <c r="A44" s="2" t="s">
        <v>95</v>
      </c>
      <c r="B44" s="3" t="s">
        <v>151</v>
      </c>
      <c r="C44" s="63" t="s">
        <v>152</v>
      </c>
      <c r="D44" s="64"/>
      <c r="E44" s="3" t="s">
        <v>60</v>
      </c>
      <c r="F44" s="24">
        <v>18.420000000000002</v>
      </c>
      <c r="G44" s="24">
        <v>0</v>
      </c>
      <c r="H44" s="24">
        <f>ROUND(F44*AO44,2)</f>
        <v>0</v>
      </c>
      <c r="I44" s="24">
        <f>ROUND(F44*AP44,2)</f>
        <v>0</v>
      </c>
      <c r="J44" s="24">
        <f>ROUND(F44*G44,2)</f>
        <v>0</v>
      </c>
      <c r="K44" s="25" t="s">
        <v>53</v>
      </c>
      <c r="Z44" s="24">
        <f>ROUND(IF(AQ44="5",BJ44,0),2)</f>
        <v>0</v>
      </c>
      <c r="AB44" s="24">
        <f>ROUND(IF(AQ44="1",BH44,0),2)</f>
        <v>0</v>
      </c>
      <c r="AC44" s="24">
        <f>ROUND(IF(AQ44="1",BI44,0),2)</f>
        <v>0</v>
      </c>
      <c r="AD44" s="24">
        <f>ROUND(IF(AQ44="7",BH44,0),2)</f>
        <v>0</v>
      </c>
      <c r="AE44" s="24">
        <f>ROUND(IF(AQ44="7",BI44,0),2)</f>
        <v>0</v>
      </c>
      <c r="AF44" s="24">
        <f>ROUND(IF(AQ44="2",BH44,0),2)</f>
        <v>0</v>
      </c>
      <c r="AG44" s="24">
        <f>ROUND(IF(AQ44="2",BI44,0),2)</f>
        <v>0</v>
      </c>
      <c r="AH44" s="24">
        <f>ROUND(IF(AQ44="0",BJ44,0),2)</f>
        <v>0</v>
      </c>
      <c r="AI44" s="10" t="s">
        <v>46</v>
      </c>
      <c r="AJ44" s="24">
        <f>IF(AN44=0,J44,0)</f>
        <v>0</v>
      </c>
      <c r="AK44" s="24">
        <f>IF(AN44=12,J44,0)</f>
        <v>0</v>
      </c>
      <c r="AL44" s="24">
        <f>IF(AN44=21,J44,0)</f>
        <v>0</v>
      </c>
      <c r="AN44" s="24">
        <v>12</v>
      </c>
      <c r="AO44" s="24">
        <f>G44*0.854892633</f>
        <v>0</v>
      </c>
      <c r="AP44" s="24">
        <f>G44*(1-0.854892633)</f>
        <v>0</v>
      </c>
      <c r="AQ44" s="26" t="s">
        <v>49</v>
      </c>
      <c r="AV44" s="24">
        <f>ROUND(AW44+AX44,2)</f>
        <v>0</v>
      </c>
      <c r="AW44" s="24">
        <f>ROUND(F44*AO44,2)</f>
        <v>0</v>
      </c>
      <c r="AX44" s="24">
        <f>ROUND(F44*AP44,2)</f>
        <v>0</v>
      </c>
      <c r="AY44" s="26" t="s">
        <v>153</v>
      </c>
      <c r="AZ44" s="26" t="s">
        <v>148</v>
      </c>
      <c r="BA44" s="10" t="s">
        <v>56</v>
      </c>
      <c r="BC44" s="24">
        <f>AW44+AX44</f>
        <v>0</v>
      </c>
      <c r="BD44" s="24">
        <f>G44/(100-BE44)*100</f>
        <v>0</v>
      </c>
      <c r="BE44" s="24">
        <v>0</v>
      </c>
      <c r="BF44" s="24">
        <f>44</f>
        <v>44</v>
      </c>
      <c r="BH44" s="24">
        <f>F44*AO44</f>
        <v>0</v>
      </c>
      <c r="BI44" s="24">
        <f>F44*AP44</f>
        <v>0</v>
      </c>
      <c r="BJ44" s="24">
        <f>F44*G44</f>
        <v>0</v>
      </c>
      <c r="BK44" s="24"/>
      <c r="BL44" s="24">
        <v>87</v>
      </c>
      <c r="BW44" s="24">
        <v>12</v>
      </c>
      <c r="BX44" s="4" t="s">
        <v>152</v>
      </c>
    </row>
    <row r="45" spans="1:76" x14ac:dyDescent="0.25">
      <c r="A45" s="2" t="s">
        <v>154</v>
      </c>
      <c r="B45" s="3" t="s">
        <v>155</v>
      </c>
      <c r="C45" s="63" t="s">
        <v>156</v>
      </c>
      <c r="D45" s="64"/>
      <c r="E45" s="3" t="s">
        <v>60</v>
      </c>
      <c r="F45" s="24">
        <v>58.28</v>
      </c>
      <c r="G45" s="24">
        <v>0</v>
      </c>
      <c r="H45" s="24">
        <f>ROUND(F45*AO45,2)</f>
        <v>0</v>
      </c>
      <c r="I45" s="24">
        <f>ROUND(F45*AP45,2)</f>
        <v>0</v>
      </c>
      <c r="J45" s="24">
        <f>ROUND(F45*G45,2)</f>
        <v>0</v>
      </c>
      <c r="K45" s="25" t="s">
        <v>53</v>
      </c>
      <c r="Z45" s="24">
        <f>ROUND(IF(AQ45="5",BJ45,0),2)</f>
        <v>0</v>
      </c>
      <c r="AB45" s="24">
        <f>ROUND(IF(AQ45="1",BH45,0),2)</f>
        <v>0</v>
      </c>
      <c r="AC45" s="24">
        <f>ROUND(IF(AQ45="1",BI45,0),2)</f>
        <v>0</v>
      </c>
      <c r="AD45" s="24">
        <f>ROUND(IF(AQ45="7",BH45,0),2)</f>
        <v>0</v>
      </c>
      <c r="AE45" s="24">
        <f>ROUND(IF(AQ45="7",BI45,0),2)</f>
        <v>0</v>
      </c>
      <c r="AF45" s="24">
        <f>ROUND(IF(AQ45="2",BH45,0),2)</f>
        <v>0</v>
      </c>
      <c r="AG45" s="24">
        <f>ROUND(IF(AQ45="2",BI45,0),2)</f>
        <v>0</v>
      </c>
      <c r="AH45" s="24">
        <f>ROUND(IF(AQ45="0",BJ45,0),2)</f>
        <v>0</v>
      </c>
      <c r="AI45" s="10" t="s">
        <v>46</v>
      </c>
      <c r="AJ45" s="24">
        <f>IF(AN45=0,J45,0)</f>
        <v>0</v>
      </c>
      <c r="AK45" s="24">
        <f>IF(AN45=12,J45,0)</f>
        <v>0</v>
      </c>
      <c r="AL45" s="24">
        <f>IF(AN45=21,J45,0)</f>
        <v>0</v>
      </c>
      <c r="AN45" s="24">
        <v>12</v>
      </c>
      <c r="AO45" s="24">
        <f>G45*0.006750277</f>
        <v>0</v>
      </c>
      <c r="AP45" s="24">
        <f>G45*(1-0.006750277)</f>
        <v>0</v>
      </c>
      <c r="AQ45" s="26" t="s">
        <v>49</v>
      </c>
      <c r="AV45" s="24">
        <f>ROUND(AW45+AX45,2)</f>
        <v>0</v>
      </c>
      <c r="AW45" s="24">
        <f>ROUND(F45*AO45,2)</f>
        <v>0</v>
      </c>
      <c r="AX45" s="24">
        <f>ROUND(F45*AP45,2)</f>
        <v>0</v>
      </c>
      <c r="AY45" s="26" t="s">
        <v>153</v>
      </c>
      <c r="AZ45" s="26" t="s">
        <v>148</v>
      </c>
      <c r="BA45" s="10" t="s">
        <v>56</v>
      </c>
      <c r="BC45" s="24">
        <f>AW45+AX45</f>
        <v>0</v>
      </c>
      <c r="BD45" s="24">
        <f>G45/(100-BE45)*100</f>
        <v>0</v>
      </c>
      <c r="BE45" s="24">
        <v>0</v>
      </c>
      <c r="BF45" s="24">
        <f>45</f>
        <v>45</v>
      </c>
      <c r="BH45" s="24">
        <f>F45*AO45</f>
        <v>0</v>
      </c>
      <c r="BI45" s="24">
        <f>F45*AP45</f>
        <v>0</v>
      </c>
      <c r="BJ45" s="24">
        <f>F45*G45</f>
        <v>0</v>
      </c>
      <c r="BK45" s="24"/>
      <c r="BL45" s="24">
        <v>87</v>
      </c>
      <c r="BW45" s="24">
        <v>12</v>
      </c>
      <c r="BX45" s="4" t="s">
        <v>156</v>
      </c>
    </row>
    <row r="46" spans="1:76" x14ac:dyDescent="0.25">
      <c r="A46" s="2" t="s">
        <v>157</v>
      </c>
      <c r="B46" s="3" t="s">
        <v>158</v>
      </c>
      <c r="C46" s="63" t="s">
        <v>159</v>
      </c>
      <c r="D46" s="64"/>
      <c r="E46" s="3" t="s">
        <v>60</v>
      </c>
      <c r="F46" s="24">
        <v>109</v>
      </c>
      <c r="G46" s="24">
        <v>0</v>
      </c>
      <c r="H46" s="24">
        <f>ROUND(F46*AO46,2)</f>
        <v>0</v>
      </c>
      <c r="I46" s="24">
        <f>ROUND(F46*AP46,2)</f>
        <v>0</v>
      </c>
      <c r="J46" s="24">
        <f>ROUND(F46*G46,2)</f>
        <v>0</v>
      </c>
      <c r="K46" s="25" t="s">
        <v>53</v>
      </c>
      <c r="Z46" s="24">
        <f>ROUND(IF(AQ46="5",BJ46,0),2)</f>
        <v>0</v>
      </c>
      <c r="AB46" s="24">
        <f>ROUND(IF(AQ46="1",BH46,0),2)</f>
        <v>0</v>
      </c>
      <c r="AC46" s="24">
        <f>ROUND(IF(AQ46="1",BI46,0),2)</f>
        <v>0</v>
      </c>
      <c r="AD46" s="24">
        <f>ROUND(IF(AQ46="7",BH46,0),2)</f>
        <v>0</v>
      </c>
      <c r="AE46" s="24">
        <f>ROUND(IF(AQ46="7",BI46,0),2)</f>
        <v>0</v>
      </c>
      <c r="AF46" s="24">
        <f>ROUND(IF(AQ46="2",BH46,0),2)</f>
        <v>0</v>
      </c>
      <c r="AG46" s="24">
        <f>ROUND(IF(AQ46="2",BI46,0),2)</f>
        <v>0</v>
      </c>
      <c r="AH46" s="24">
        <f>ROUND(IF(AQ46="0",BJ46,0),2)</f>
        <v>0</v>
      </c>
      <c r="AI46" s="10" t="s">
        <v>46</v>
      </c>
      <c r="AJ46" s="24">
        <f>IF(AN46=0,J46,0)</f>
        <v>0</v>
      </c>
      <c r="AK46" s="24">
        <f>IF(AN46=12,J46,0)</f>
        <v>0</v>
      </c>
      <c r="AL46" s="24">
        <f>IF(AN46=21,J46,0)</f>
        <v>0</v>
      </c>
      <c r="AN46" s="24">
        <v>12</v>
      </c>
      <c r="AO46" s="24">
        <f>G46*0</f>
        <v>0</v>
      </c>
      <c r="AP46" s="24">
        <f>G46*(1-0)</f>
        <v>0</v>
      </c>
      <c r="AQ46" s="26" t="s">
        <v>49</v>
      </c>
      <c r="AV46" s="24">
        <f>ROUND(AW46+AX46,2)</f>
        <v>0</v>
      </c>
      <c r="AW46" s="24">
        <f>ROUND(F46*AO46,2)</f>
        <v>0</v>
      </c>
      <c r="AX46" s="24">
        <f>ROUND(F46*AP46,2)</f>
        <v>0</v>
      </c>
      <c r="AY46" s="26" t="s">
        <v>153</v>
      </c>
      <c r="AZ46" s="26" t="s">
        <v>148</v>
      </c>
      <c r="BA46" s="10" t="s">
        <v>56</v>
      </c>
      <c r="BC46" s="24">
        <f>AW46+AX46</f>
        <v>0</v>
      </c>
      <c r="BD46" s="24">
        <f>G46/(100-BE46)*100</f>
        <v>0</v>
      </c>
      <c r="BE46" s="24">
        <v>0</v>
      </c>
      <c r="BF46" s="24">
        <f>46</f>
        <v>46</v>
      </c>
      <c r="BH46" s="24">
        <f>F46*AO46</f>
        <v>0</v>
      </c>
      <c r="BI46" s="24">
        <f>F46*AP46</f>
        <v>0</v>
      </c>
      <c r="BJ46" s="24">
        <f>F46*G46</f>
        <v>0</v>
      </c>
      <c r="BK46" s="24"/>
      <c r="BL46" s="24">
        <v>87</v>
      </c>
      <c r="BW46" s="24">
        <v>12</v>
      </c>
      <c r="BX46" s="4" t="s">
        <v>159</v>
      </c>
    </row>
    <row r="47" spans="1:76" x14ac:dyDescent="0.25">
      <c r="A47" s="28" t="s">
        <v>46</v>
      </c>
      <c r="B47" s="29" t="s">
        <v>160</v>
      </c>
      <c r="C47" s="68" t="s">
        <v>161</v>
      </c>
      <c r="D47" s="69"/>
      <c r="E47" s="30" t="s">
        <v>4</v>
      </c>
      <c r="F47" s="30" t="s">
        <v>4</v>
      </c>
      <c r="G47" s="30" t="s">
        <v>4</v>
      </c>
      <c r="H47" s="1">
        <f>SUM(H48:H52)</f>
        <v>0</v>
      </c>
      <c r="I47" s="1">
        <f>SUM(I48:I52)</f>
        <v>0</v>
      </c>
      <c r="J47" s="1">
        <f>SUM(J48:J52)</f>
        <v>0</v>
      </c>
      <c r="K47" s="31" t="s">
        <v>46</v>
      </c>
      <c r="AI47" s="10" t="s">
        <v>46</v>
      </c>
      <c r="AS47" s="1">
        <f>SUM(AJ48:AJ52)</f>
        <v>0</v>
      </c>
      <c r="AT47" s="1">
        <f>SUM(AK48:AK52)</f>
        <v>0</v>
      </c>
      <c r="AU47" s="1">
        <f>SUM(AL48:AL52)</f>
        <v>0</v>
      </c>
    </row>
    <row r="48" spans="1:76" x14ac:dyDescent="0.25">
      <c r="A48" s="2" t="s">
        <v>162</v>
      </c>
      <c r="B48" s="3" t="s">
        <v>163</v>
      </c>
      <c r="C48" s="63" t="s">
        <v>164</v>
      </c>
      <c r="D48" s="64"/>
      <c r="E48" s="3" t="s">
        <v>139</v>
      </c>
      <c r="F48" s="24">
        <v>9</v>
      </c>
      <c r="G48" s="24">
        <v>0</v>
      </c>
      <c r="H48" s="24">
        <f>ROUND(F48*AO48,2)</f>
        <v>0</v>
      </c>
      <c r="I48" s="24">
        <f>ROUND(F48*AP48,2)</f>
        <v>0</v>
      </c>
      <c r="J48" s="24">
        <f>ROUND(F48*G48,2)</f>
        <v>0</v>
      </c>
      <c r="K48" s="25" t="s">
        <v>53</v>
      </c>
      <c r="Z48" s="24">
        <f>ROUND(IF(AQ48="5",BJ48,0),2)</f>
        <v>0</v>
      </c>
      <c r="AB48" s="24">
        <f>ROUND(IF(AQ48="1",BH48,0),2)</f>
        <v>0</v>
      </c>
      <c r="AC48" s="24">
        <f>ROUND(IF(AQ48="1",BI48,0),2)</f>
        <v>0</v>
      </c>
      <c r="AD48" s="24">
        <f>ROUND(IF(AQ48="7",BH48,0),2)</f>
        <v>0</v>
      </c>
      <c r="AE48" s="24">
        <f>ROUND(IF(AQ48="7",BI48,0),2)</f>
        <v>0</v>
      </c>
      <c r="AF48" s="24">
        <f>ROUND(IF(AQ48="2",BH48,0),2)</f>
        <v>0</v>
      </c>
      <c r="AG48" s="24">
        <f>ROUND(IF(AQ48="2",BI48,0),2)</f>
        <v>0</v>
      </c>
      <c r="AH48" s="24">
        <f>ROUND(IF(AQ48="0",BJ48,0),2)</f>
        <v>0</v>
      </c>
      <c r="AI48" s="10" t="s">
        <v>46</v>
      </c>
      <c r="AJ48" s="24">
        <f>IF(AN48=0,J48,0)</f>
        <v>0</v>
      </c>
      <c r="AK48" s="24">
        <f>IF(AN48=12,J48,0)</f>
        <v>0</v>
      </c>
      <c r="AL48" s="24">
        <f>IF(AN48=21,J48,0)</f>
        <v>0</v>
      </c>
      <c r="AN48" s="24">
        <v>12</v>
      </c>
      <c r="AO48" s="24">
        <f>G48*0.214264721</f>
        <v>0</v>
      </c>
      <c r="AP48" s="24">
        <f>G48*(1-0.214264721)</f>
        <v>0</v>
      </c>
      <c r="AQ48" s="26" t="s">
        <v>49</v>
      </c>
      <c r="AV48" s="24">
        <f>ROUND(AW48+AX48,2)</f>
        <v>0</v>
      </c>
      <c r="AW48" s="24">
        <f>ROUND(F48*AO48,2)</f>
        <v>0</v>
      </c>
      <c r="AX48" s="24">
        <f>ROUND(F48*AP48,2)</f>
        <v>0</v>
      </c>
      <c r="AY48" s="26" t="s">
        <v>165</v>
      </c>
      <c r="AZ48" s="26" t="s">
        <v>148</v>
      </c>
      <c r="BA48" s="10" t="s">
        <v>56</v>
      </c>
      <c r="BC48" s="24">
        <f>AW48+AX48</f>
        <v>0</v>
      </c>
      <c r="BD48" s="24">
        <f>G48/(100-BE48)*100</f>
        <v>0</v>
      </c>
      <c r="BE48" s="24">
        <v>0</v>
      </c>
      <c r="BF48" s="24">
        <f>48</f>
        <v>48</v>
      </c>
      <c r="BH48" s="24">
        <f>F48*AO48</f>
        <v>0</v>
      </c>
      <c r="BI48" s="24">
        <f>F48*AP48</f>
        <v>0</v>
      </c>
      <c r="BJ48" s="24">
        <f>F48*G48</f>
        <v>0</v>
      </c>
      <c r="BK48" s="24"/>
      <c r="BL48" s="24">
        <v>89</v>
      </c>
      <c r="BW48" s="24">
        <v>12</v>
      </c>
      <c r="BX48" s="4" t="s">
        <v>164</v>
      </c>
    </row>
    <row r="49" spans="1:76" x14ac:dyDescent="0.25">
      <c r="A49" s="2" t="s">
        <v>166</v>
      </c>
      <c r="B49" s="3" t="s">
        <v>167</v>
      </c>
      <c r="C49" s="63" t="s">
        <v>168</v>
      </c>
      <c r="D49" s="64"/>
      <c r="E49" s="3" t="s">
        <v>139</v>
      </c>
      <c r="F49" s="24">
        <v>18</v>
      </c>
      <c r="G49" s="24">
        <v>0</v>
      </c>
      <c r="H49" s="24">
        <f>ROUND(F49*AO49,2)</f>
        <v>0</v>
      </c>
      <c r="I49" s="24">
        <f>ROUND(F49*AP49,2)</f>
        <v>0</v>
      </c>
      <c r="J49" s="24">
        <f>ROUND(F49*G49,2)</f>
        <v>0</v>
      </c>
      <c r="K49" s="25" t="s">
        <v>53</v>
      </c>
      <c r="Z49" s="24">
        <f>ROUND(IF(AQ49="5",BJ49,0),2)</f>
        <v>0</v>
      </c>
      <c r="AB49" s="24">
        <f>ROUND(IF(AQ49="1",BH49,0),2)</f>
        <v>0</v>
      </c>
      <c r="AC49" s="24">
        <f>ROUND(IF(AQ49="1",BI49,0),2)</f>
        <v>0</v>
      </c>
      <c r="AD49" s="24">
        <f>ROUND(IF(AQ49="7",BH49,0),2)</f>
        <v>0</v>
      </c>
      <c r="AE49" s="24">
        <f>ROUND(IF(AQ49="7",BI49,0),2)</f>
        <v>0</v>
      </c>
      <c r="AF49" s="24">
        <f>ROUND(IF(AQ49="2",BH49,0),2)</f>
        <v>0</v>
      </c>
      <c r="AG49" s="24">
        <f>ROUND(IF(AQ49="2",BI49,0),2)</f>
        <v>0</v>
      </c>
      <c r="AH49" s="24">
        <f>ROUND(IF(AQ49="0",BJ49,0),2)</f>
        <v>0</v>
      </c>
      <c r="AI49" s="10" t="s">
        <v>46</v>
      </c>
      <c r="AJ49" s="24">
        <f>IF(AN49=0,J49,0)</f>
        <v>0</v>
      </c>
      <c r="AK49" s="24">
        <f>IF(AN49=12,J49,0)</f>
        <v>0</v>
      </c>
      <c r="AL49" s="24">
        <f>IF(AN49=21,J49,0)</f>
        <v>0</v>
      </c>
      <c r="AN49" s="24">
        <v>12</v>
      </c>
      <c r="AO49" s="24">
        <f>G49*0.016339869</f>
        <v>0</v>
      </c>
      <c r="AP49" s="24">
        <f>G49*(1-0.016339869)</f>
        <v>0</v>
      </c>
      <c r="AQ49" s="26" t="s">
        <v>49</v>
      </c>
      <c r="AV49" s="24">
        <f>ROUND(AW49+AX49,2)</f>
        <v>0</v>
      </c>
      <c r="AW49" s="24">
        <f>ROUND(F49*AO49,2)</f>
        <v>0</v>
      </c>
      <c r="AX49" s="24">
        <f>ROUND(F49*AP49,2)</f>
        <v>0</v>
      </c>
      <c r="AY49" s="26" t="s">
        <v>165</v>
      </c>
      <c r="AZ49" s="26" t="s">
        <v>148</v>
      </c>
      <c r="BA49" s="10" t="s">
        <v>56</v>
      </c>
      <c r="BC49" s="24">
        <f>AW49+AX49</f>
        <v>0</v>
      </c>
      <c r="BD49" s="24">
        <f>G49/(100-BE49)*100</f>
        <v>0</v>
      </c>
      <c r="BE49" s="24">
        <v>0</v>
      </c>
      <c r="BF49" s="24">
        <f>49</f>
        <v>49</v>
      </c>
      <c r="BH49" s="24">
        <f>F49*AO49</f>
        <v>0</v>
      </c>
      <c r="BI49" s="24">
        <f>F49*AP49</f>
        <v>0</v>
      </c>
      <c r="BJ49" s="24">
        <f>F49*G49</f>
        <v>0</v>
      </c>
      <c r="BK49" s="24"/>
      <c r="BL49" s="24">
        <v>89</v>
      </c>
      <c r="BW49" s="24">
        <v>12</v>
      </c>
      <c r="BX49" s="4" t="s">
        <v>168</v>
      </c>
    </row>
    <row r="50" spans="1:76" x14ac:dyDescent="0.25">
      <c r="A50" s="2" t="s">
        <v>169</v>
      </c>
      <c r="B50" s="3" t="s">
        <v>170</v>
      </c>
      <c r="C50" s="63" t="s">
        <v>171</v>
      </c>
      <c r="D50" s="64"/>
      <c r="E50" s="3" t="s">
        <v>139</v>
      </c>
      <c r="F50" s="24">
        <v>9</v>
      </c>
      <c r="G50" s="24">
        <v>0</v>
      </c>
      <c r="H50" s="24">
        <f>ROUND(F50*AO50,2)</f>
        <v>0</v>
      </c>
      <c r="I50" s="24">
        <f>ROUND(F50*AP50,2)</f>
        <v>0</v>
      </c>
      <c r="J50" s="24">
        <f>ROUND(F50*G50,2)</f>
        <v>0</v>
      </c>
      <c r="K50" s="25" t="s">
        <v>53</v>
      </c>
      <c r="Z50" s="24">
        <f>ROUND(IF(AQ50="5",BJ50,0),2)</f>
        <v>0</v>
      </c>
      <c r="AB50" s="24">
        <f>ROUND(IF(AQ50="1",BH50,0),2)</f>
        <v>0</v>
      </c>
      <c r="AC50" s="24">
        <f>ROUND(IF(AQ50="1",BI50,0),2)</f>
        <v>0</v>
      </c>
      <c r="AD50" s="24">
        <f>ROUND(IF(AQ50="7",BH50,0),2)</f>
        <v>0</v>
      </c>
      <c r="AE50" s="24">
        <f>ROUND(IF(AQ50="7",BI50,0),2)</f>
        <v>0</v>
      </c>
      <c r="AF50" s="24">
        <f>ROUND(IF(AQ50="2",BH50,0),2)</f>
        <v>0</v>
      </c>
      <c r="AG50" s="24">
        <f>ROUND(IF(AQ50="2",BI50,0),2)</f>
        <v>0</v>
      </c>
      <c r="AH50" s="24">
        <f>ROUND(IF(AQ50="0",BJ50,0),2)</f>
        <v>0</v>
      </c>
      <c r="AI50" s="10" t="s">
        <v>46</v>
      </c>
      <c r="AJ50" s="24">
        <f>IF(AN50=0,J50,0)</f>
        <v>0</v>
      </c>
      <c r="AK50" s="24">
        <f>IF(AN50=12,J50,0)</f>
        <v>0</v>
      </c>
      <c r="AL50" s="24">
        <f>IF(AN50=21,J50,0)</f>
        <v>0</v>
      </c>
      <c r="AN50" s="24">
        <v>12</v>
      </c>
      <c r="AO50" s="24">
        <f>G50*0.823801477</f>
        <v>0</v>
      </c>
      <c r="AP50" s="24">
        <f>G50*(1-0.823801477)</f>
        <v>0</v>
      </c>
      <c r="AQ50" s="26" t="s">
        <v>49</v>
      </c>
      <c r="AV50" s="24">
        <f>ROUND(AW50+AX50,2)</f>
        <v>0</v>
      </c>
      <c r="AW50" s="24">
        <f>ROUND(F50*AO50,2)</f>
        <v>0</v>
      </c>
      <c r="AX50" s="24">
        <f>ROUND(F50*AP50,2)</f>
        <v>0</v>
      </c>
      <c r="AY50" s="26" t="s">
        <v>165</v>
      </c>
      <c r="AZ50" s="26" t="s">
        <v>148</v>
      </c>
      <c r="BA50" s="10" t="s">
        <v>56</v>
      </c>
      <c r="BC50" s="24">
        <f>AW50+AX50</f>
        <v>0</v>
      </c>
      <c r="BD50" s="24">
        <f>G50/(100-BE50)*100</f>
        <v>0</v>
      </c>
      <c r="BE50" s="24">
        <v>0</v>
      </c>
      <c r="BF50" s="24">
        <f>50</f>
        <v>50</v>
      </c>
      <c r="BH50" s="24">
        <f>F50*AO50</f>
        <v>0</v>
      </c>
      <c r="BI50" s="24">
        <f>F50*AP50</f>
        <v>0</v>
      </c>
      <c r="BJ50" s="24">
        <f>F50*G50</f>
        <v>0</v>
      </c>
      <c r="BK50" s="24"/>
      <c r="BL50" s="24">
        <v>89</v>
      </c>
      <c r="BW50" s="24">
        <v>12</v>
      </c>
      <c r="BX50" s="4" t="s">
        <v>171</v>
      </c>
    </row>
    <row r="51" spans="1:76" x14ac:dyDescent="0.25">
      <c r="A51" s="2" t="s">
        <v>172</v>
      </c>
      <c r="B51" s="3" t="s">
        <v>173</v>
      </c>
      <c r="C51" s="63" t="s">
        <v>174</v>
      </c>
      <c r="D51" s="64"/>
      <c r="E51" s="3" t="s">
        <v>139</v>
      </c>
      <c r="F51" s="24">
        <v>9</v>
      </c>
      <c r="G51" s="24">
        <v>0</v>
      </c>
      <c r="H51" s="24">
        <f>ROUND(F51*AO51,2)</f>
        <v>0</v>
      </c>
      <c r="I51" s="24">
        <f>ROUND(F51*AP51,2)</f>
        <v>0</v>
      </c>
      <c r="J51" s="24">
        <f>ROUND(F51*G51,2)</f>
        <v>0</v>
      </c>
      <c r="K51" s="25" t="s">
        <v>53</v>
      </c>
      <c r="Z51" s="24">
        <f>ROUND(IF(AQ51="5",BJ51,0),2)</f>
        <v>0</v>
      </c>
      <c r="AB51" s="24">
        <f>ROUND(IF(AQ51="1",BH51,0),2)</f>
        <v>0</v>
      </c>
      <c r="AC51" s="24">
        <f>ROUND(IF(AQ51="1",BI51,0),2)</f>
        <v>0</v>
      </c>
      <c r="AD51" s="24">
        <f>ROUND(IF(AQ51="7",BH51,0),2)</f>
        <v>0</v>
      </c>
      <c r="AE51" s="24">
        <f>ROUND(IF(AQ51="7",BI51,0),2)</f>
        <v>0</v>
      </c>
      <c r="AF51" s="24">
        <f>ROUND(IF(AQ51="2",BH51,0),2)</f>
        <v>0</v>
      </c>
      <c r="AG51" s="24">
        <f>ROUND(IF(AQ51="2",BI51,0),2)</f>
        <v>0</v>
      </c>
      <c r="AH51" s="24">
        <f>ROUND(IF(AQ51="0",BJ51,0),2)</f>
        <v>0</v>
      </c>
      <c r="AI51" s="10" t="s">
        <v>46</v>
      </c>
      <c r="AJ51" s="24">
        <f>IF(AN51=0,J51,0)</f>
        <v>0</v>
      </c>
      <c r="AK51" s="24">
        <f>IF(AN51=12,J51,0)</f>
        <v>0</v>
      </c>
      <c r="AL51" s="24">
        <f>IF(AN51=21,J51,0)</f>
        <v>0</v>
      </c>
      <c r="AN51" s="24">
        <v>12</v>
      </c>
      <c r="AO51" s="24">
        <f>G51*0.744239669</f>
        <v>0</v>
      </c>
      <c r="AP51" s="24">
        <f>G51*(1-0.744239669)</f>
        <v>0</v>
      </c>
      <c r="AQ51" s="26" t="s">
        <v>49</v>
      </c>
      <c r="AV51" s="24">
        <f>ROUND(AW51+AX51,2)</f>
        <v>0</v>
      </c>
      <c r="AW51" s="24">
        <f>ROUND(F51*AO51,2)</f>
        <v>0</v>
      </c>
      <c r="AX51" s="24">
        <f>ROUND(F51*AP51,2)</f>
        <v>0</v>
      </c>
      <c r="AY51" s="26" t="s">
        <v>165</v>
      </c>
      <c r="AZ51" s="26" t="s">
        <v>148</v>
      </c>
      <c r="BA51" s="10" t="s">
        <v>56</v>
      </c>
      <c r="BC51" s="24">
        <f>AW51+AX51</f>
        <v>0</v>
      </c>
      <c r="BD51" s="24">
        <f>G51/(100-BE51)*100</f>
        <v>0</v>
      </c>
      <c r="BE51" s="24">
        <v>0</v>
      </c>
      <c r="BF51" s="24">
        <f>51</f>
        <v>51</v>
      </c>
      <c r="BH51" s="24">
        <f>F51*AO51</f>
        <v>0</v>
      </c>
      <c r="BI51" s="24">
        <f>F51*AP51</f>
        <v>0</v>
      </c>
      <c r="BJ51" s="24">
        <f>F51*G51</f>
        <v>0</v>
      </c>
      <c r="BK51" s="24"/>
      <c r="BL51" s="24">
        <v>89</v>
      </c>
      <c r="BW51" s="24">
        <v>12</v>
      </c>
      <c r="BX51" s="4" t="s">
        <v>174</v>
      </c>
    </row>
    <row r="52" spans="1:76" x14ac:dyDescent="0.25">
      <c r="A52" s="2" t="s">
        <v>175</v>
      </c>
      <c r="B52" s="3" t="s">
        <v>176</v>
      </c>
      <c r="C52" s="63" t="s">
        <v>177</v>
      </c>
      <c r="D52" s="64"/>
      <c r="E52" s="3" t="s">
        <v>139</v>
      </c>
      <c r="F52" s="24">
        <v>1</v>
      </c>
      <c r="G52" s="24">
        <v>0</v>
      </c>
      <c r="H52" s="24">
        <f>ROUND(F52*AO52,2)</f>
        <v>0</v>
      </c>
      <c r="I52" s="24">
        <f>ROUND(F52*AP52,2)</f>
        <v>0</v>
      </c>
      <c r="J52" s="24">
        <f>ROUND(F52*G52,2)</f>
        <v>0</v>
      </c>
      <c r="K52" s="25" t="s">
        <v>53</v>
      </c>
      <c r="Z52" s="24">
        <f>ROUND(IF(AQ52="5",BJ52,0),2)</f>
        <v>0</v>
      </c>
      <c r="AB52" s="24">
        <f>ROUND(IF(AQ52="1",BH52,0),2)</f>
        <v>0</v>
      </c>
      <c r="AC52" s="24">
        <f>ROUND(IF(AQ52="1",BI52,0),2)</f>
        <v>0</v>
      </c>
      <c r="AD52" s="24">
        <f>ROUND(IF(AQ52="7",BH52,0),2)</f>
        <v>0</v>
      </c>
      <c r="AE52" s="24">
        <f>ROUND(IF(AQ52="7",BI52,0),2)</f>
        <v>0</v>
      </c>
      <c r="AF52" s="24">
        <f>ROUND(IF(AQ52="2",BH52,0),2)</f>
        <v>0</v>
      </c>
      <c r="AG52" s="24">
        <f>ROUND(IF(AQ52="2",BI52,0),2)</f>
        <v>0</v>
      </c>
      <c r="AH52" s="24">
        <f>ROUND(IF(AQ52="0",BJ52,0),2)</f>
        <v>0</v>
      </c>
      <c r="AI52" s="10" t="s">
        <v>46</v>
      </c>
      <c r="AJ52" s="24">
        <f>IF(AN52=0,J52,0)</f>
        <v>0</v>
      </c>
      <c r="AK52" s="24">
        <f>IF(AN52=12,J52,0)</f>
        <v>0</v>
      </c>
      <c r="AL52" s="24">
        <f>IF(AN52=21,J52,0)</f>
        <v>0</v>
      </c>
      <c r="AN52" s="24">
        <v>12</v>
      </c>
      <c r="AO52" s="24">
        <f>G52*0</f>
        <v>0</v>
      </c>
      <c r="AP52" s="24">
        <f>G52*(1-0)</f>
        <v>0</v>
      </c>
      <c r="AQ52" s="26" t="s">
        <v>49</v>
      </c>
      <c r="AV52" s="24">
        <f>ROUND(AW52+AX52,2)</f>
        <v>0</v>
      </c>
      <c r="AW52" s="24">
        <f>ROUND(F52*AO52,2)</f>
        <v>0</v>
      </c>
      <c r="AX52" s="24">
        <f>ROUND(F52*AP52,2)</f>
        <v>0</v>
      </c>
      <c r="AY52" s="26" t="s">
        <v>165</v>
      </c>
      <c r="AZ52" s="26" t="s">
        <v>148</v>
      </c>
      <c r="BA52" s="10" t="s">
        <v>56</v>
      </c>
      <c r="BC52" s="24">
        <f>AW52+AX52</f>
        <v>0</v>
      </c>
      <c r="BD52" s="24">
        <f>G52/(100-BE52)*100</f>
        <v>0</v>
      </c>
      <c r="BE52" s="24">
        <v>0</v>
      </c>
      <c r="BF52" s="24">
        <f>52</f>
        <v>52</v>
      </c>
      <c r="BH52" s="24">
        <f>F52*AO52</f>
        <v>0</v>
      </c>
      <c r="BI52" s="24">
        <f>F52*AP52</f>
        <v>0</v>
      </c>
      <c r="BJ52" s="24">
        <f>F52*G52</f>
        <v>0</v>
      </c>
      <c r="BK52" s="24"/>
      <c r="BL52" s="24">
        <v>89</v>
      </c>
      <c r="BW52" s="24">
        <v>12</v>
      </c>
      <c r="BX52" s="4" t="s">
        <v>177</v>
      </c>
    </row>
    <row r="53" spans="1:76" x14ac:dyDescent="0.25">
      <c r="A53" s="28" t="s">
        <v>46</v>
      </c>
      <c r="B53" s="29" t="s">
        <v>178</v>
      </c>
      <c r="C53" s="68" t="s">
        <v>179</v>
      </c>
      <c r="D53" s="69"/>
      <c r="E53" s="30" t="s">
        <v>4</v>
      </c>
      <c r="F53" s="30" t="s">
        <v>4</v>
      </c>
      <c r="G53" s="30" t="s">
        <v>4</v>
      </c>
      <c r="H53" s="1">
        <f>SUM(H54:H54)</f>
        <v>0</v>
      </c>
      <c r="I53" s="1">
        <f>SUM(I54:I54)</f>
        <v>0</v>
      </c>
      <c r="J53" s="1">
        <f>SUM(J54:J54)</f>
        <v>0</v>
      </c>
      <c r="K53" s="31" t="s">
        <v>46</v>
      </c>
      <c r="AI53" s="10" t="s">
        <v>46</v>
      </c>
      <c r="AS53" s="1">
        <f>SUM(AJ54:AJ54)</f>
        <v>0</v>
      </c>
      <c r="AT53" s="1">
        <f>SUM(AK54:AK54)</f>
        <v>0</v>
      </c>
      <c r="AU53" s="1">
        <f>SUM(AL54:AL54)</f>
        <v>0</v>
      </c>
    </row>
    <row r="54" spans="1:76" ht="25.5" x14ac:dyDescent="0.25">
      <c r="A54" s="2" t="s">
        <v>180</v>
      </c>
      <c r="B54" s="3" t="s">
        <v>181</v>
      </c>
      <c r="C54" s="63" t="s">
        <v>182</v>
      </c>
      <c r="D54" s="64"/>
      <c r="E54" s="3" t="s">
        <v>60</v>
      </c>
      <c r="F54" s="24">
        <v>209.58</v>
      </c>
      <c r="G54" s="24">
        <v>0</v>
      </c>
      <c r="H54" s="24">
        <f>ROUND(F54*AO54,2)</f>
        <v>0</v>
      </c>
      <c r="I54" s="24">
        <f>ROUND(F54*AP54,2)</f>
        <v>0</v>
      </c>
      <c r="J54" s="24">
        <f>ROUND(F54*G54,2)</f>
        <v>0</v>
      </c>
      <c r="K54" s="25" t="s">
        <v>53</v>
      </c>
      <c r="Z54" s="24">
        <f>ROUND(IF(AQ54="5",BJ54,0),2)</f>
        <v>0</v>
      </c>
      <c r="AB54" s="24">
        <f>ROUND(IF(AQ54="1",BH54,0),2)</f>
        <v>0</v>
      </c>
      <c r="AC54" s="24">
        <f>ROUND(IF(AQ54="1",BI54,0),2)</f>
        <v>0</v>
      </c>
      <c r="AD54" s="24">
        <f>ROUND(IF(AQ54="7",BH54,0),2)</f>
        <v>0</v>
      </c>
      <c r="AE54" s="24">
        <f>ROUND(IF(AQ54="7",BI54,0),2)</f>
        <v>0</v>
      </c>
      <c r="AF54" s="24">
        <f>ROUND(IF(AQ54="2",BH54,0),2)</f>
        <v>0</v>
      </c>
      <c r="AG54" s="24">
        <f>ROUND(IF(AQ54="2",BI54,0),2)</f>
        <v>0</v>
      </c>
      <c r="AH54" s="24">
        <f>ROUND(IF(AQ54="0",BJ54,0),2)</f>
        <v>0</v>
      </c>
      <c r="AI54" s="10" t="s">
        <v>46</v>
      </c>
      <c r="AJ54" s="24">
        <f>IF(AN54=0,J54,0)</f>
        <v>0</v>
      </c>
      <c r="AK54" s="24">
        <f>IF(AN54=12,J54,0)</f>
        <v>0</v>
      </c>
      <c r="AL54" s="24">
        <f>IF(AN54=21,J54,0)</f>
        <v>0</v>
      </c>
      <c r="AN54" s="24">
        <v>12</v>
      </c>
      <c r="AO54" s="24">
        <f>G54*0.761575173</f>
        <v>0</v>
      </c>
      <c r="AP54" s="24">
        <f>G54*(1-0.761575173)</f>
        <v>0</v>
      </c>
      <c r="AQ54" s="26" t="s">
        <v>49</v>
      </c>
      <c r="AV54" s="24">
        <f>ROUND(AW54+AX54,2)</f>
        <v>0</v>
      </c>
      <c r="AW54" s="24">
        <f>ROUND(F54*AO54,2)</f>
        <v>0</v>
      </c>
      <c r="AX54" s="24">
        <f>ROUND(F54*AP54,2)</f>
        <v>0</v>
      </c>
      <c r="AY54" s="26" t="s">
        <v>183</v>
      </c>
      <c r="AZ54" s="26" t="s">
        <v>184</v>
      </c>
      <c r="BA54" s="10" t="s">
        <v>56</v>
      </c>
      <c r="BC54" s="24">
        <f>AW54+AX54</f>
        <v>0</v>
      </c>
      <c r="BD54" s="24">
        <f>G54/(100-BE54)*100</f>
        <v>0</v>
      </c>
      <c r="BE54" s="24">
        <v>0</v>
      </c>
      <c r="BF54" s="24">
        <f>54</f>
        <v>54</v>
      </c>
      <c r="BH54" s="24">
        <f>F54*AO54</f>
        <v>0</v>
      </c>
      <c r="BI54" s="24">
        <f>F54*AP54</f>
        <v>0</v>
      </c>
      <c r="BJ54" s="24">
        <f>F54*G54</f>
        <v>0</v>
      </c>
      <c r="BK54" s="24"/>
      <c r="BL54" s="24">
        <v>91</v>
      </c>
      <c r="BW54" s="24">
        <v>12</v>
      </c>
      <c r="BX54" s="4" t="s">
        <v>182</v>
      </c>
    </row>
    <row r="55" spans="1:76" x14ac:dyDescent="0.25">
      <c r="A55" s="28" t="s">
        <v>46</v>
      </c>
      <c r="B55" s="29" t="s">
        <v>185</v>
      </c>
      <c r="C55" s="68" t="s">
        <v>186</v>
      </c>
      <c r="D55" s="69"/>
      <c r="E55" s="30" t="s">
        <v>4</v>
      </c>
      <c r="F55" s="30" t="s">
        <v>4</v>
      </c>
      <c r="G55" s="30" t="s">
        <v>4</v>
      </c>
      <c r="H55" s="1">
        <f>SUM(H56:H56)</f>
        <v>0</v>
      </c>
      <c r="I55" s="1">
        <f>SUM(I56:I56)</f>
        <v>0</v>
      </c>
      <c r="J55" s="1">
        <f>SUM(J56:J56)</f>
        <v>0</v>
      </c>
      <c r="K55" s="31" t="s">
        <v>46</v>
      </c>
      <c r="AI55" s="10" t="s">
        <v>46</v>
      </c>
      <c r="AS55" s="1">
        <f>SUM(AJ56:AJ56)</f>
        <v>0</v>
      </c>
      <c r="AT55" s="1">
        <f>SUM(AK56:AK56)</f>
        <v>0</v>
      </c>
      <c r="AU55" s="1">
        <f>SUM(AL56:AL56)</f>
        <v>0</v>
      </c>
    </row>
    <row r="56" spans="1:76" x14ac:dyDescent="0.25">
      <c r="A56" s="2" t="s">
        <v>187</v>
      </c>
      <c r="B56" s="3" t="s">
        <v>188</v>
      </c>
      <c r="C56" s="63" t="s">
        <v>189</v>
      </c>
      <c r="D56" s="64"/>
      <c r="E56" s="3" t="s">
        <v>69</v>
      </c>
      <c r="F56" s="24">
        <v>70.248199999999997</v>
      </c>
      <c r="G56" s="24">
        <v>0</v>
      </c>
      <c r="H56" s="24">
        <f>ROUND(F56*AO56,2)</f>
        <v>0</v>
      </c>
      <c r="I56" s="24">
        <f>ROUND(F56*AP56,2)</f>
        <v>0</v>
      </c>
      <c r="J56" s="24">
        <f>ROUND(F56*G56,2)</f>
        <v>0</v>
      </c>
      <c r="K56" s="25" t="s">
        <v>53</v>
      </c>
      <c r="Z56" s="24">
        <f>ROUND(IF(AQ56="5",BJ56,0),2)</f>
        <v>0</v>
      </c>
      <c r="AB56" s="24">
        <f>ROUND(IF(AQ56="1",BH56,0),2)</f>
        <v>0</v>
      </c>
      <c r="AC56" s="24">
        <f>ROUND(IF(AQ56="1",BI56,0),2)</f>
        <v>0</v>
      </c>
      <c r="AD56" s="24">
        <f>ROUND(IF(AQ56="7",BH56,0),2)</f>
        <v>0</v>
      </c>
      <c r="AE56" s="24">
        <f>ROUND(IF(AQ56="7",BI56,0),2)</f>
        <v>0</v>
      </c>
      <c r="AF56" s="24">
        <f>ROUND(IF(AQ56="2",BH56,0),2)</f>
        <v>0</v>
      </c>
      <c r="AG56" s="24">
        <f>ROUND(IF(AQ56="2",BI56,0),2)</f>
        <v>0</v>
      </c>
      <c r="AH56" s="24">
        <f>ROUND(IF(AQ56="0",BJ56,0),2)</f>
        <v>0</v>
      </c>
      <c r="AI56" s="10" t="s">
        <v>46</v>
      </c>
      <c r="AJ56" s="24">
        <f>IF(AN56=0,J56,0)</f>
        <v>0</v>
      </c>
      <c r="AK56" s="24">
        <f>IF(AN56=12,J56,0)</f>
        <v>0</v>
      </c>
      <c r="AL56" s="24">
        <f>IF(AN56=21,J56,0)</f>
        <v>0</v>
      </c>
      <c r="AN56" s="24">
        <v>12</v>
      </c>
      <c r="AO56" s="24">
        <f>G56*0</f>
        <v>0</v>
      </c>
      <c r="AP56" s="24">
        <f>G56*(1-0)</f>
        <v>0</v>
      </c>
      <c r="AQ56" s="26" t="s">
        <v>57</v>
      </c>
      <c r="AV56" s="24">
        <f>ROUND(AW56+AX56,2)</f>
        <v>0</v>
      </c>
      <c r="AW56" s="24">
        <f>ROUND(F56*AO56,2)</f>
        <v>0</v>
      </c>
      <c r="AX56" s="24">
        <f>ROUND(F56*AP56,2)</f>
        <v>0</v>
      </c>
      <c r="AY56" s="26" t="s">
        <v>190</v>
      </c>
      <c r="AZ56" s="26" t="s">
        <v>184</v>
      </c>
      <c r="BA56" s="10" t="s">
        <v>56</v>
      </c>
      <c r="BC56" s="24">
        <f>AW56+AX56</f>
        <v>0</v>
      </c>
      <c r="BD56" s="24">
        <f>G56/(100-BE56)*100</f>
        <v>0</v>
      </c>
      <c r="BE56" s="24">
        <v>0</v>
      </c>
      <c r="BF56" s="24">
        <f>56</f>
        <v>56</v>
      </c>
      <c r="BH56" s="24">
        <f>F56*AO56</f>
        <v>0</v>
      </c>
      <c r="BI56" s="24">
        <f>F56*AP56</f>
        <v>0</v>
      </c>
      <c r="BJ56" s="24">
        <f>F56*G56</f>
        <v>0</v>
      </c>
      <c r="BK56" s="24"/>
      <c r="BL56" s="24"/>
      <c r="BW56" s="24">
        <v>12</v>
      </c>
      <c r="BX56" s="4" t="s">
        <v>189</v>
      </c>
    </row>
    <row r="57" spans="1:76" x14ac:dyDescent="0.25">
      <c r="A57" s="28" t="s">
        <v>46</v>
      </c>
      <c r="B57" s="29" t="s">
        <v>191</v>
      </c>
      <c r="C57" s="68" t="s">
        <v>192</v>
      </c>
      <c r="D57" s="69"/>
      <c r="E57" s="30" t="s">
        <v>4</v>
      </c>
      <c r="F57" s="30" t="s">
        <v>4</v>
      </c>
      <c r="G57" s="30" t="s">
        <v>4</v>
      </c>
      <c r="H57" s="1">
        <f>SUM(H58:H59)</f>
        <v>0</v>
      </c>
      <c r="I57" s="1">
        <f>SUM(I58:I59)</f>
        <v>0</v>
      </c>
      <c r="J57" s="1">
        <f>SUM(J58:J59)</f>
        <v>0</v>
      </c>
      <c r="K57" s="31" t="s">
        <v>46</v>
      </c>
      <c r="AI57" s="10" t="s">
        <v>46</v>
      </c>
      <c r="AS57" s="1">
        <f>SUM(AJ58:AJ59)</f>
        <v>0</v>
      </c>
      <c r="AT57" s="1">
        <f>SUM(AK58:AK59)</f>
        <v>0</v>
      </c>
      <c r="AU57" s="1">
        <f>SUM(AL58:AL59)</f>
        <v>0</v>
      </c>
    </row>
    <row r="58" spans="1:76" x14ac:dyDescent="0.25">
      <c r="A58" s="2" t="s">
        <v>101</v>
      </c>
      <c r="B58" s="3" t="s">
        <v>193</v>
      </c>
      <c r="C58" s="63" t="s">
        <v>194</v>
      </c>
      <c r="D58" s="64"/>
      <c r="E58" s="3" t="s">
        <v>195</v>
      </c>
      <c r="F58" s="24">
        <v>1298.5070000000001</v>
      </c>
      <c r="G58" s="24">
        <v>0</v>
      </c>
      <c r="H58" s="24">
        <f>ROUND(F58*AO58,2)</f>
        <v>0</v>
      </c>
      <c r="I58" s="24">
        <f>ROUND(F58*AP58,2)</f>
        <v>0</v>
      </c>
      <c r="J58" s="24">
        <f>ROUND(F58*G58,2)</f>
        <v>0</v>
      </c>
      <c r="K58" s="25" t="s">
        <v>53</v>
      </c>
      <c r="Z58" s="24">
        <f>ROUND(IF(AQ58="5",BJ58,0),2)</f>
        <v>0</v>
      </c>
      <c r="AB58" s="24">
        <f>ROUND(IF(AQ58="1",BH58,0),2)</f>
        <v>0</v>
      </c>
      <c r="AC58" s="24">
        <f>ROUND(IF(AQ58="1",BI58,0),2)</f>
        <v>0</v>
      </c>
      <c r="AD58" s="24">
        <f>ROUND(IF(AQ58="7",BH58,0),2)</f>
        <v>0</v>
      </c>
      <c r="AE58" s="24">
        <f>ROUND(IF(AQ58="7",BI58,0),2)</f>
        <v>0</v>
      </c>
      <c r="AF58" s="24">
        <f>ROUND(IF(AQ58="2",BH58,0),2)</f>
        <v>0</v>
      </c>
      <c r="AG58" s="24">
        <f>ROUND(IF(AQ58="2",BI58,0),2)</f>
        <v>0</v>
      </c>
      <c r="AH58" s="24">
        <f>ROUND(IF(AQ58="0",BJ58,0),2)</f>
        <v>0</v>
      </c>
      <c r="AI58" s="10" t="s">
        <v>46</v>
      </c>
      <c r="AJ58" s="24">
        <f>IF(AN58=0,J58,0)</f>
        <v>0</v>
      </c>
      <c r="AK58" s="24">
        <f>IF(AN58=12,J58,0)</f>
        <v>0</v>
      </c>
      <c r="AL58" s="24">
        <f>IF(AN58=21,J58,0)</f>
        <v>0</v>
      </c>
      <c r="AN58" s="24">
        <v>12</v>
      </c>
      <c r="AO58" s="24">
        <f>G58*0</f>
        <v>0</v>
      </c>
      <c r="AP58" s="24">
        <f>G58*(1-0)</f>
        <v>0</v>
      </c>
      <c r="AQ58" s="26" t="s">
        <v>71</v>
      </c>
      <c r="AV58" s="24">
        <f>ROUND(AW58+AX58,2)</f>
        <v>0</v>
      </c>
      <c r="AW58" s="24">
        <f>ROUND(F58*AO58,2)</f>
        <v>0</v>
      </c>
      <c r="AX58" s="24">
        <f>ROUND(F58*AP58,2)</f>
        <v>0</v>
      </c>
      <c r="AY58" s="26" t="s">
        <v>196</v>
      </c>
      <c r="AZ58" s="26" t="s">
        <v>184</v>
      </c>
      <c r="BA58" s="10" t="s">
        <v>56</v>
      </c>
      <c r="BC58" s="24">
        <f>AW58+AX58</f>
        <v>0</v>
      </c>
      <c r="BD58" s="24">
        <f>G58/(100-BE58)*100</f>
        <v>0</v>
      </c>
      <c r="BE58" s="24">
        <v>0</v>
      </c>
      <c r="BF58" s="24">
        <f>58</f>
        <v>58</v>
      </c>
      <c r="BH58" s="24">
        <f>F58*AO58</f>
        <v>0</v>
      </c>
      <c r="BI58" s="24">
        <f>F58*AP58</f>
        <v>0</v>
      </c>
      <c r="BJ58" s="24">
        <f>F58*G58</f>
        <v>0</v>
      </c>
      <c r="BK58" s="24"/>
      <c r="BL58" s="24"/>
      <c r="BW58" s="24">
        <v>12</v>
      </c>
      <c r="BX58" s="4" t="s">
        <v>194</v>
      </c>
    </row>
    <row r="59" spans="1:76" x14ac:dyDescent="0.25">
      <c r="A59" s="2" t="s">
        <v>197</v>
      </c>
      <c r="B59" s="3" t="s">
        <v>198</v>
      </c>
      <c r="C59" s="63" t="s">
        <v>199</v>
      </c>
      <c r="D59" s="64"/>
      <c r="E59" s="3" t="s">
        <v>195</v>
      </c>
      <c r="F59" s="24">
        <v>379.30399999999997</v>
      </c>
      <c r="G59" s="24">
        <v>0</v>
      </c>
      <c r="H59" s="24">
        <f>ROUND(F59*AO59,2)</f>
        <v>0</v>
      </c>
      <c r="I59" s="24">
        <f>ROUND(F59*AP59,2)</f>
        <v>0</v>
      </c>
      <c r="J59" s="24">
        <f>ROUND(F59*G59,2)</f>
        <v>0</v>
      </c>
      <c r="K59" s="25" t="s">
        <v>53</v>
      </c>
      <c r="Z59" s="24">
        <f>ROUND(IF(AQ59="5",BJ59,0),2)</f>
        <v>0</v>
      </c>
      <c r="AB59" s="24">
        <f>ROUND(IF(AQ59="1",BH59,0),2)</f>
        <v>0</v>
      </c>
      <c r="AC59" s="24">
        <f>ROUND(IF(AQ59="1",BI59,0),2)</f>
        <v>0</v>
      </c>
      <c r="AD59" s="24">
        <f>ROUND(IF(AQ59="7",BH59,0),2)</f>
        <v>0</v>
      </c>
      <c r="AE59" s="24">
        <f>ROUND(IF(AQ59="7",BI59,0),2)</f>
        <v>0</v>
      </c>
      <c r="AF59" s="24">
        <f>ROUND(IF(AQ59="2",BH59,0),2)</f>
        <v>0</v>
      </c>
      <c r="AG59" s="24">
        <f>ROUND(IF(AQ59="2",BI59,0),2)</f>
        <v>0</v>
      </c>
      <c r="AH59" s="24">
        <f>ROUND(IF(AQ59="0",BJ59,0),2)</f>
        <v>0</v>
      </c>
      <c r="AI59" s="10" t="s">
        <v>46</v>
      </c>
      <c r="AJ59" s="24">
        <f>IF(AN59=0,J59,0)</f>
        <v>0</v>
      </c>
      <c r="AK59" s="24">
        <f>IF(AN59=12,J59,0)</f>
        <v>0</v>
      </c>
      <c r="AL59" s="24">
        <f>IF(AN59=21,J59,0)</f>
        <v>0</v>
      </c>
      <c r="AN59" s="24">
        <v>12</v>
      </c>
      <c r="AO59" s="24">
        <f>G59*0</f>
        <v>0</v>
      </c>
      <c r="AP59" s="24">
        <f>G59*(1-0)</f>
        <v>0</v>
      </c>
      <c r="AQ59" s="26" t="s">
        <v>71</v>
      </c>
      <c r="AV59" s="24">
        <f>ROUND(AW59+AX59,2)</f>
        <v>0</v>
      </c>
      <c r="AW59" s="24">
        <f>ROUND(F59*AO59,2)</f>
        <v>0</v>
      </c>
      <c r="AX59" s="24">
        <f>ROUND(F59*AP59,2)</f>
        <v>0</v>
      </c>
      <c r="AY59" s="26" t="s">
        <v>196</v>
      </c>
      <c r="AZ59" s="26" t="s">
        <v>184</v>
      </c>
      <c r="BA59" s="10" t="s">
        <v>56</v>
      </c>
      <c r="BC59" s="24">
        <f>AW59+AX59</f>
        <v>0</v>
      </c>
      <c r="BD59" s="24">
        <f>G59/(100-BE59)*100</f>
        <v>0</v>
      </c>
      <c r="BE59" s="24">
        <v>0</v>
      </c>
      <c r="BF59" s="24">
        <f>59</f>
        <v>59</v>
      </c>
      <c r="BH59" s="24">
        <f>F59*AO59</f>
        <v>0</v>
      </c>
      <c r="BI59" s="24">
        <f>F59*AP59</f>
        <v>0</v>
      </c>
      <c r="BJ59" s="24">
        <f>F59*G59</f>
        <v>0</v>
      </c>
      <c r="BK59" s="24"/>
      <c r="BL59" s="24"/>
      <c r="BW59" s="24">
        <v>12</v>
      </c>
      <c r="BX59" s="4" t="s">
        <v>199</v>
      </c>
    </row>
    <row r="60" spans="1:76" x14ac:dyDescent="0.25">
      <c r="A60" s="28" t="s">
        <v>46</v>
      </c>
      <c r="B60" s="29" t="s">
        <v>200</v>
      </c>
      <c r="C60" s="68" t="s">
        <v>201</v>
      </c>
      <c r="D60" s="69"/>
      <c r="E60" s="30" t="s">
        <v>4</v>
      </c>
      <c r="F60" s="30" t="s">
        <v>4</v>
      </c>
      <c r="G60" s="30" t="s">
        <v>4</v>
      </c>
      <c r="H60" s="1">
        <f>SUM(H61:H67)</f>
        <v>0</v>
      </c>
      <c r="I60" s="1">
        <f>SUM(I61:I67)</f>
        <v>0</v>
      </c>
      <c r="J60" s="1">
        <f>SUM(J61:J67)</f>
        <v>0</v>
      </c>
      <c r="K60" s="31" t="s">
        <v>46</v>
      </c>
      <c r="AI60" s="10" t="s">
        <v>46</v>
      </c>
      <c r="AS60" s="1">
        <f>SUM(AJ61:AJ67)</f>
        <v>0</v>
      </c>
      <c r="AT60" s="1">
        <f>SUM(AK61:AK67)</f>
        <v>0</v>
      </c>
      <c r="AU60" s="1">
        <f>SUM(AL61:AL67)</f>
        <v>0</v>
      </c>
    </row>
    <row r="61" spans="1:76" x14ac:dyDescent="0.25">
      <c r="A61" s="2" t="s">
        <v>202</v>
      </c>
      <c r="B61" s="3" t="s">
        <v>203</v>
      </c>
      <c r="C61" s="63" t="s">
        <v>204</v>
      </c>
      <c r="D61" s="64"/>
      <c r="E61" s="3" t="s">
        <v>139</v>
      </c>
      <c r="F61" s="24">
        <v>18</v>
      </c>
      <c r="G61" s="24">
        <v>0</v>
      </c>
      <c r="H61" s="24">
        <f t="shared" ref="H61:H67" si="0">ROUND(F61*AO61,2)</f>
        <v>0</v>
      </c>
      <c r="I61" s="24">
        <f t="shared" ref="I61:I67" si="1">ROUND(F61*AP61,2)</f>
        <v>0</v>
      </c>
      <c r="J61" s="24">
        <f t="shared" ref="J61:J67" si="2">ROUND(F61*G61,2)</f>
        <v>0</v>
      </c>
      <c r="K61" s="25" t="s">
        <v>53</v>
      </c>
      <c r="Z61" s="24">
        <f t="shared" ref="Z61:Z67" si="3">ROUND(IF(AQ61="5",BJ61,0),2)</f>
        <v>0</v>
      </c>
      <c r="AB61" s="24">
        <f t="shared" ref="AB61:AB67" si="4">ROUND(IF(AQ61="1",BH61,0),2)</f>
        <v>0</v>
      </c>
      <c r="AC61" s="24">
        <f t="shared" ref="AC61:AC67" si="5">ROUND(IF(AQ61="1",BI61,0),2)</f>
        <v>0</v>
      </c>
      <c r="AD61" s="24">
        <f t="shared" ref="AD61:AD67" si="6">ROUND(IF(AQ61="7",BH61,0),2)</f>
        <v>0</v>
      </c>
      <c r="AE61" s="24">
        <f t="shared" ref="AE61:AE67" si="7">ROUND(IF(AQ61="7",BI61,0),2)</f>
        <v>0</v>
      </c>
      <c r="AF61" s="24">
        <f t="shared" ref="AF61:AF67" si="8">ROUND(IF(AQ61="2",BH61,0),2)</f>
        <v>0</v>
      </c>
      <c r="AG61" s="24">
        <f t="shared" ref="AG61:AG67" si="9">ROUND(IF(AQ61="2",BI61,0),2)</f>
        <v>0</v>
      </c>
      <c r="AH61" s="24">
        <f t="shared" ref="AH61:AH67" si="10">ROUND(IF(AQ61="0",BJ61,0),2)</f>
        <v>0</v>
      </c>
      <c r="AI61" s="10" t="s">
        <v>46</v>
      </c>
      <c r="AJ61" s="24">
        <f t="shared" ref="AJ61:AJ67" si="11">IF(AN61=0,J61,0)</f>
        <v>0</v>
      </c>
      <c r="AK61" s="24">
        <f t="shared" ref="AK61:AK67" si="12">IF(AN61=12,J61,0)</f>
        <v>0</v>
      </c>
      <c r="AL61" s="24">
        <f t="shared" ref="AL61:AL67" si="13">IF(AN61=21,J61,0)</f>
        <v>0</v>
      </c>
      <c r="AN61" s="24">
        <v>12</v>
      </c>
      <c r="AO61" s="24">
        <f t="shared" ref="AO61:AO67" si="14">G61*1</f>
        <v>0</v>
      </c>
      <c r="AP61" s="24">
        <f t="shared" ref="AP61:AP67" si="15">G61*(1-1)</f>
        <v>0</v>
      </c>
      <c r="AQ61" s="26" t="s">
        <v>205</v>
      </c>
      <c r="AV61" s="24">
        <f t="shared" ref="AV61:AV67" si="16">ROUND(AW61+AX61,2)</f>
        <v>0</v>
      </c>
      <c r="AW61" s="24">
        <f t="shared" ref="AW61:AW67" si="17">ROUND(F61*AO61,2)</f>
        <v>0</v>
      </c>
      <c r="AX61" s="24">
        <f t="shared" ref="AX61:AX67" si="18">ROUND(F61*AP61,2)</f>
        <v>0</v>
      </c>
      <c r="AY61" s="26" t="s">
        <v>206</v>
      </c>
      <c r="AZ61" s="26" t="s">
        <v>207</v>
      </c>
      <c r="BA61" s="10" t="s">
        <v>56</v>
      </c>
      <c r="BC61" s="24">
        <f t="shared" ref="BC61:BC67" si="19">AW61+AX61</f>
        <v>0</v>
      </c>
      <c r="BD61" s="24">
        <f t="shared" ref="BD61:BD67" si="20">G61/(100-BE61)*100</f>
        <v>0</v>
      </c>
      <c r="BE61" s="24">
        <v>0</v>
      </c>
      <c r="BF61" s="24">
        <f>61</f>
        <v>61</v>
      </c>
      <c r="BH61" s="24">
        <f t="shared" ref="BH61:BH67" si="21">F61*AO61</f>
        <v>0</v>
      </c>
      <c r="BI61" s="24">
        <f t="shared" ref="BI61:BI67" si="22">F61*AP61</f>
        <v>0</v>
      </c>
      <c r="BJ61" s="24">
        <f t="shared" ref="BJ61:BJ67" si="23">F61*G61</f>
        <v>0</v>
      </c>
      <c r="BK61" s="24"/>
      <c r="BL61" s="24"/>
      <c r="BW61" s="24">
        <v>12</v>
      </c>
      <c r="BX61" s="4" t="s">
        <v>204</v>
      </c>
    </row>
    <row r="62" spans="1:76" x14ac:dyDescent="0.25">
      <c r="A62" s="2" t="s">
        <v>208</v>
      </c>
      <c r="B62" s="3" t="s">
        <v>209</v>
      </c>
      <c r="C62" s="63" t="s">
        <v>210</v>
      </c>
      <c r="D62" s="64"/>
      <c r="E62" s="3" t="s">
        <v>139</v>
      </c>
      <c r="F62" s="24">
        <v>9</v>
      </c>
      <c r="G62" s="24">
        <v>0</v>
      </c>
      <c r="H62" s="24">
        <f t="shared" si="0"/>
        <v>0</v>
      </c>
      <c r="I62" s="24">
        <f t="shared" si="1"/>
        <v>0</v>
      </c>
      <c r="J62" s="24">
        <f t="shared" si="2"/>
        <v>0</v>
      </c>
      <c r="K62" s="25" t="s">
        <v>53</v>
      </c>
      <c r="Z62" s="24">
        <f t="shared" si="3"/>
        <v>0</v>
      </c>
      <c r="AB62" s="24">
        <f t="shared" si="4"/>
        <v>0</v>
      </c>
      <c r="AC62" s="24">
        <f t="shared" si="5"/>
        <v>0</v>
      </c>
      <c r="AD62" s="24">
        <f t="shared" si="6"/>
        <v>0</v>
      </c>
      <c r="AE62" s="24">
        <f t="shared" si="7"/>
        <v>0</v>
      </c>
      <c r="AF62" s="24">
        <f t="shared" si="8"/>
        <v>0</v>
      </c>
      <c r="AG62" s="24">
        <f t="shared" si="9"/>
        <v>0</v>
      </c>
      <c r="AH62" s="24">
        <f t="shared" si="10"/>
        <v>0</v>
      </c>
      <c r="AI62" s="10" t="s">
        <v>46</v>
      </c>
      <c r="AJ62" s="24">
        <f t="shared" si="11"/>
        <v>0</v>
      </c>
      <c r="AK62" s="24">
        <f t="shared" si="12"/>
        <v>0</v>
      </c>
      <c r="AL62" s="24">
        <f t="shared" si="13"/>
        <v>0</v>
      </c>
      <c r="AN62" s="24">
        <v>12</v>
      </c>
      <c r="AO62" s="24">
        <f t="shared" si="14"/>
        <v>0</v>
      </c>
      <c r="AP62" s="24">
        <f t="shared" si="15"/>
        <v>0</v>
      </c>
      <c r="AQ62" s="26" t="s">
        <v>205</v>
      </c>
      <c r="AV62" s="24">
        <f t="shared" si="16"/>
        <v>0</v>
      </c>
      <c r="AW62" s="24">
        <f t="shared" si="17"/>
        <v>0</v>
      </c>
      <c r="AX62" s="24">
        <f t="shared" si="18"/>
        <v>0</v>
      </c>
      <c r="AY62" s="26" t="s">
        <v>206</v>
      </c>
      <c r="AZ62" s="26" t="s">
        <v>207</v>
      </c>
      <c r="BA62" s="10" t="s">
        <v>56</v>
      </c>
      <c r="BC62" s="24">
        <f t="shared" si="19"/>
        <v>0</v>
      </c>
      <c r="BD62" s="24">
        <f t="shared" si="20"/>
        <v>0</v>
      </c>
      <c r="BE62" s="24">
        <v>0</v>
      </c>
      <c r="BF62" s="24">
        <f>62</f>
        <v>62</v>
      </c>
      <c r="BH62" s="24">
        <f t="shared" si="21"/>
        <v>0</v>
      </c>
      <c r="BI62" s="24">
        <f t="shared" si="22"/>
        <v>0</v>
      </c>
      <c r="BJ62" s="24">
        <f t="shared" si="23"/>
        <v>0</v>
      </c>
      <c r="BK62" s="24"/>
      <c r="BL62" s="24"/>
      <c r="BW62" s="24">
        <v>12</v>
      </c>
      <c r="BX62" s="4" t="s">
        <v>210</v>
      </c>
    </row>
    <row r="63" spans="1:76" x14ac:dyDescent="0.25">
      <c r="A63" s="2" t="s">
        <v>211</v>
      </c>
      <c r="B63" s="3" t="s">
        <v>212</v>
      </c>
      <c r="C63" s="63" t="s">
        <v>213</v>
      </c>
      <c r="D63" s="64"/>
      <c r="E63" s="3" t="s">
        <v>139</v>
      </c>
      <c r="F63" s="24">
        <v>53.725700000000003</v>
      </c>
      <c r="G63" s="24">
        <v>0</v>
      </c>
      <c r="H63" s="24">
        <f t="shared" si="0"/>
        <v>0</v>
      </c>
      <c r="I63" s="24">
        <f t="shared" si="1"/>
        <v>0</v>
      </c>
      <c r="J63" s="24">
        <f t="shared" si="2"/>
        <v>0</v>
      </c>
      <c r="K63" s="25" t="s">
        <v>53</v>
      </c>
      <c r="Z63" s="24">
        <f t="shared" si="3"/>
        <v>0</v>
      </c>
      <c r="AB63" s="24">
        <f t="shared" si="4"/>
        <v>0</v>
      </c>
      <c r="AC63" s="24">
        <f t="shared" si="5"/>
        <v>0</v>
      </c>
      <c r="AD63" s="24">
        <f t="shared" si="6"/>
        <v>0</v>
      </c>
      <c r="AE63" s="24">
        <f t="shared" si="7"/>
        <v>0</v>
      </c>
      <c r="AF63" s="24">
        <f t="shared" si="8"/>
        <v>0</v>
      </c>
      <c r="AG63" s="24">
        <f t="shared" si="9"/>
        <v>0</v>
      </c>
      <c r="AH63" s="24">
        <f t="shared" si="10"/>
        <v>0</v>
      </c>
      <c r="AI63" s="10" t="s">
        <v>46</v>
      </c>
      <c r="AJ63" s="24">
        <f t="shared" si="11"/>
        <v>0</v>
      </c>
      <c r="AK63" s="24">
        <f t="shared" si="12"/>
        <v>0</v>
      </c>
      <c r="AL63" s="24">
        <f t="shared" si="13"/>
        <v>0</v>
      </c>
      <c r="AN63" s="24">
        <v>12</v>
      </c>
      <c r="AO63" s="24">
        <f t="shared" si="14"/>
        <v>0</v>
      </c>
      <c r="AP63" s="24">
        <f t="shared" si="15"/>
        <v>0</v>
      </c>
      <c r="AQ63" s="26" t="s">
        <v>205</v>
      </c>
      <c r="AV63" s="24">
        <f t="shared" si="16"/>
        <v>0</v>
      </c>
      <c r="AW63" s="24">
        <f t="shared" si="17"/>
        <v>0</v>
      </c>
      <c r="AX63" s="24">
        <f t="shared" si="18"/>
        <v>0</v>
      </c>
      <c r="AY63" s="26" t="s">
        <v>206</v>
      </c>
      <c r="AZ63" s="26" t="s">
        <v>207</v>
      </c>
      <c r="BA63" s="10" t="s">
        <v>56</v>
      </c>
      <c r="BC63" s="24">
        <f t="shared" si="19"/>
        <v>0</v>
      </c>
      <c r="BD63" s="24">
        <f t="shared" si="20"/>
        <v>0</v>
      </c>
      <c r="BE63" s="24">
        <v>0</v>
      </c>
      <c r="BF63" s="24">
        <f>63</f>
        <v>63</v>
      </c>
      <c r="BH63" s="24">
        <f t="shared" si="21"/>
        <v>0</v>
      </c>
      <c r="BI63" s="24">
        <f t="shared" si="22"/>
        <v>0</v>
      </c>
      <c r="BJ63" s="24">
        <f t="shared" si="23"/>
        <v>0</v>
      </c>
      <c r="BK63" s="24"/>
      <c r="BL63" s="24"/>
      <c r="BW63" s="24">
        <v>12</v>
      </c>
      <c r="BX63" s="4" t="s">
        <v>213</v>
      </c>
    </row>
    <row r="64" spans="1:76" x14ac:dyDescent="0.25">
      <c r="A64" s="2" t="s">
        <v>214</v>
      </c>
      <c r="B64" s="3" t="s">
        <v>215</v>
      </c>
      <c r="C64" s="63" t="s">
        <v>216</v>
      </c>
      <c r="D64" s="64"/>
      <c r="E64" s="3" t="s">
        <v>52</v>
      </c>
      <c r="F64" s="24">
        <v>1330.9485</v>
      </c>
      <c r="G64" s="24">
        <v>0</v>
      </c>
      <c r="H64" s="24">
        <f t="shared" si="0"/>
        <v>0</v>
      </c>
      <c r="I64" s="24">
        <f t="shared" si="1"/>
        <v>0</v>
      </c>
      <c r="J64" s="24">
        <f t="shared" si="2"/>
        <v>0</v>
      </c>
      <c r="K64" s="25" t="s">
        <v>53</v>
      </c>
      <c r="Z64" s="24">
        <f t="shared" si="3"/>
        <v>0</v>
      </c>
      <c r="AB64" s="24">
        <f t="shared" si="4"/>
        <v>0</v>
      </c>
      <c r="AC64" s="24">
        <f t="shared" si="5"/>
        <v>0</v>
      </c>
      <c r="AD64" s="24">
        <f t="shared" si="6"/>
        <v>0</v>
      </c>
      <c r="AE64" s="24">
        <f t="shared" si="7"/>
        <v>0</v>
      </c>
      <c r="AF64" s="24">
        <f t="shared" si="8"/>
        <v>0</v>
      </c>
      <c r="AG64" s="24">
        <f t="shared" si="9"/>
        <v>0</v>
      </c>
      <c r="AH64" s="24">
        <f t="shared" si="10"/>
        <v>0</v>
      </c>
      <c r="AI64" s="10" t="s">
        <v>46</v>
      </c>
      <c r="AJ64" s="24">
        <f t="shared" si="11"/>
        <v>0</v>
      </c>
      <c r="AK64" s="24">
        <f t="shared" si="12"/>
        <v>0</v>
      </c>
      <c r="AL64" s="24">
        <f t="shared" si="13"/>
        <v>0</v>
      </c>
      <c r="AN64" s="24">
        <v>12</v>
      </c>
      <c r="AO64" s="24">
        <f t="shared" si="14"/>
        <v>0</v>
      </c>
      <c r="AP64" s="24">
        <f t="shared" si="15"/>
        <v>0</v>
      </c>
      <c r="AQ64" s="26" t="s">
        <v>205</v>
      </c>
      <c r="AV64" s="24">
        <f t="shared" si="16"/>
        <v>0</v>
      </c>
      <c r="AW64" s="24">
        <f t="shared" si="17"/>
        <v>0</v>
      </c>
      <c r="AX64" s="24">
        <f t="shared" si="18"/>
        <v>0</v>
      </c>
      <c r="AY64" s="26" t="s">
        <v>206</v>
      </c>
      <c r="AZ64" s="26" t="s">
        <v>207</v>
      </c>
      <c r="BA64" s="10" t="s">
        <v>56</v>
      </c>
      <c r="BC64" s="24">
        <f t="shared" si="19"/>
        <v>0</v>
      </c>
      <c r="BD64" s="24">
        <f t="shared" si="20"/>
        <v>0</v>
      </c>
      <c r="BE64" s="24">
        <v>0</v>
      </c>
      <c r="BF64" s="24">
        <f>64</f>
        <v>64</v>
      </c>
      <c r="BH64" s="24">
        <f t="shared" si="21"/>
        <v>0</v>
      </c>
      <c r="BI64" s="24">
        <f t="shared" si="22"/>
        <v>0</v>
      </c>
      <c r="BJ64" s="24">
        <f t="shared" si="23"/>
        <v>0</v>
      </c>
      <c r="BK64" s="24"/>
      <c r="BL64" s="24"/>
      <c r="BW64" s="24">
        <v>12</v>
      </c>
      <c r="BX64" s="4" t="s">
        <v>216</v>
      </c>
    </row>
    <row r="65" spans="1:76" x14ac:dyDescent="0.25">
      <c r="A65" s="2" t="s">
        <v>217</v>
      </c>
      <c r="B65" s="3" t="s">
        <v>218</v>
      </c>
      <c r="C65" s="63" t="s">
        <v>219</v>
      </c>
      <c r="D65" s="64"/>
      <c r="E65" s="3" t="s">
        <v>139</v>
      </c>
      <c r="F65" s="24">
        <v>1</v>
      </c>
      <c r="G65" s="24">
        <v>0</v>
      </c>
      <c r="H65" s="24">
        <f t="shared" si="0"/>
        <v>0</v>
      </c>
      <c r="I65" s="24">
        <f t="shared" si="1"/>
        <v>0</v>
      </c>
      <c r="J65" s="24">
        <f t="shared" si="2"/>
        <v>0</v>
      </c>
      <c r="K65" s="25" t="s">
        <v>53</v>
      </c>
      <c r="Z65" s="24">
        <f t="shared" si="3"/>
        <v>0</v>
      </c>
      <c r="AB65" s="24">
        <f t="shared" si="4"/>
        <v>0</v>
      </c>
      <c r="AC65" s="24">
        <f t="shared" si="5"/>
        <v>0</v>
      </c>
      <c r="AD65" s="24">
        <f t="shared" si="6"/>
        <v>0</v>
      </c>
      <c r="AE65" s="24">
        <f t="shared" si="7"/>
        <v>0</v>
      </c>
      <c r="AF65" s="24">
        <f t="shared" si="8"/>
        <v>0</v>
      </c>
      <c r="AG65" s="24">
        <f t="shared" si="9"/>
        <v>0</v>
      </c>
      <c r="AH65" s="24">
        <f t="shared" si="10"/>
        <v>0</v>
      </c>
      <c r="AI65" s="10" t="s">
        <v>46</v>
      </c>
      <c r="AJ65" s="24">
        <f t="shared" si="11"/>
        <v>0</v>
      </c>
      <c r="AK65" s="24">
        <f t="shared" si="12"/>
        <v>0</v>
      </c>
      <c r="AL65" s="24">
        <f t="shared" si="13"/>
        <v>0</v>
      </c>
      <c r="AN65" s="24">
        <v>12</v>
      </c>
      <c r="AO65" s="24">
        <f t="shared" si="14"/>
        <v>0</v>
      </c>
      <c r="AP65" s="24">
        <f t="shared" si="15"/>
        <v>0</v>
      </c>
      <c r="AQ65" s="26" t="s">
        <v>205</v>
      </c>
      <c r="AV65" s="24">
        <f t="shared" si="16"/>
        <v>0</v>
      </c>
      <c r="AW65" s="24">
        <f t="shared" si="17"/>
        <v>0</v>
      </c>
      <c r="AX65" s="24">
        <f t="shared" si="18"/>
        <v>0</v>
      </c>
      <c r="AY65" s="26" t="s">
        <v>206</v>
      </c>
      <c r="AZ65" s="26" t="s">
        <v>207</v>
      </c>
      <c r="BA65" s="10" t="s">
        <v>56</v>
      </c>
      <c r="BC65" s="24">
        <f t="shared" si="19"/>
        <v>0</v>
      </c>
      <c r="BD65" s="24">
        <f t="shared" si="20"/>
        <v>0</v>
      </c>
      <c r="BE65" s="24">
        <v>0</v>
      </c>
      <c r="BF65" s="24">
        <f>65</f>
        <v>65</v>
      </c>
      <c r="BH65" s="24">
        <f t="shared" si="21"/>
        <v>0</v>
      </c>
      <c r="BI65" s="24">
        <f t="shared" si="22"/>
        <v>0</v>
      </c>
      <c r="BJ65" s="24">
        <f t="shared" si="23"/>
        <v>0</v>
      </c>
      <c r="BK65" s="24"/>
      <c r="BL65" s="24"/>
      <c r="BW65" s="24">
        <v>12</v>
      </c>
      <c r="BX65" s="4" t="s">
        <v>219</v>
      </c>
    </row>
    <row r="66" spans="1:76" x14ac:dyDescent="0.25">
      <c r="A66" s="2" t="s">
        <v>220</v>
      </c>
      <c r="B66" s="3" t="s">
        <v>221</v>
      </c>
      <c r="C66" s="63" t="s">
        <v>222</v>
      </c>
      <c r="D66" s="64"/>
      <c r="E66" s="3" t="s">
        <v>139</v>
      </c>
      <c r="F66" s="24">
        <v>1.1499999999999999</v>
      </c>
      <c r="G66" s="24">
        <v>0</v>
      </c>
      <c r="H66" s="24">
        <f t="shared" si="0"/>
        <v>0</v>
      </c>
      <c r="I66" s="24">
        <f t="shared" si="1"/>
        <v>0</v>
      </c>
      <c r="J66" s="24">
        <f t="shared" si="2"/>
        <v>0</v>
      </c>
      <c r="K66" s="25" t="s">
        <v>53</v>
      </c>
      <c r="Z66" s="24">
        <f t="shared" si="3"/>
        <v>0</v>
      </c>
      <c r="AB66" s="24">
        <f t="shared" si="4"/>
        <v>0</v>
      </c>
      <c r="AC66" s="24">
        <f t="shared" si="5"/>
        <v>0</v>
      </c>
      <c r="AD66" s="24">
        <f t="shared" si="6"/>
        <v>0</v>
      </c>
      <c r="AE66" s="24">
        <f t="shared" si="7"/>
        <v>0</v>
      </c>
      <c r="AF66" s="24">
        <f t="shared" si="8"/>
        <v>0</v>
      </c>
      <c r="AG66" s="24">
        <f t="shared" si="9"/>
        <v>0</v>
      </c>
      <c r="AH66" s="24">
        <f t="shared" si="10"/>
        <v>0</v>
      </c>
      <c r="AI66" s="10" t="s">
        <v>46</v>
      </c>
      <c r="AJ66" s="24">
        <f t="shared" si="11"/>
        <v>0</v>
      </c>
      <c r="AK66" s="24">
        <f t="shared" si="12"/>
        <v>0</v>
      </c>
      <c r="AL66" s="24">
        <f t="shared" si="13"/>
        <v>0</v>
      </c>
      <c r="AN66" s="24">
        <v>12</v>
      </c>
      <c r="AO66" s="24">
        <f t="shared" si="14"/>
        <v>0</v>
      </c>
      <c r="AP66" s="24">
        <f t="shared" si="15"/>
        <v>0</v>
      </c>
      <c r="AQ66" s="26" t="s">
        <v>205</v>
      </c>
      <c r="AV66" s="24">
        <f t="shared" si="16"/>
        <v>0</v>
      </c>
      <c r="AW66" s="24">
        <f t="shared" si="17"/>
        <v>0</v>
      </c>
      <c r="AX66" s="24">
        <f t="shared" si="18"/>
        <v>0</v>
      </c>
      <c r="AY66" s="26" t="s">
        <v>206</v>
      </c>
      <c r="AZ66" s="26" t="s">
        <v>207</v>
      </c>
      <c r="BA66" s="10" t="s">
        <v>56</v>
      </c>
      <c r="BC66" s="24">
        <f t="shared" si="19"/>
        <v>0</v>
      </c>
      <c r="BD66" s="24">
        <f t="shared" si="20"/>
        <v>0</v>
      </c>
      <c r="BE66" s="24">
        <v>0</v>
      </c>
      <c r="BF66" s="24">
        <f>66</f>
        <v>66</v>
      </c>
      <c r="BH66" s="24">
        <f t="shared" si="21"/>
        <v>0</v>
      </c>
      <c r="BI66" s="24">
        <f t="shared" si="22"/>
        <v>0</v>
      </c>
      <c r="BJ66" s="24">
        <f t="shared" si="23"/>
        <v>0</v>
      </c>
      <c r="BK66" s="24"/>
      <c r="BL66" s="24"/>
      <c r="BW66" s="24">
        <v>12</v>
      </c>
      <c r="BX66" s="4" t="s">
        <v>222</v>
      </c>
    </row>
    <row r="67" spans="1:76" x14ac:dyDescent="0.25">
      <c r="A67" s="32" t="s">
        <v>223</v>
      </c>
      <c r="B67" s="33" t="s">
        <v>224</v>
      </c>
      <c r="C67" s="65" t="s">
        <v>225</v>
      </c>
      <c r="D67" s="66"/>
      <c r="E67" s="33" t="s">
        <v>139</v>
      </c>
      <c r="F67" s="34">
        <v>7.0609999999999999</v>
      </c>
      <c r="G67" s="34">
        <v>0</v>
      </c>
      <c r="H67" s="34">
        <f t="shared" si="0"/>
        <v>0</v>
      </c>
      <c r="I67" s="34">
        <f t="shared" si="1"/>
        <v>0</v>
      </c>
      <c r="J67" s="34">
        <f t="shared" si="2"/>
        <v>0</v>
      </c>
      <c r="K67" s="35" t="s">
        <v>53</v>
      </c>
      <c r="Z67" s="24">
        <f t="shared" si="3"/>
        <v>0</v>
      </c>
      <c r="AB67" s="24">
        <f t="shared" si="4"/>
        <v>0</v>
      </c>
      <c r="AC67" s="24">
        <f t="shared" si="5"/>
        <v>0</v>
      </c>
      <c r="AD67" s="24">
        <f t="shared" si="6"/>
        <v>0</v>
      </c>
      <c r="AE67" s="24">
        <f t="shared" si="7"/>
        <v>0</v>
      </c>
      <c r="AF67" s="24">
        <f t="shared" si="8"/>
        <v>0</v>
      </c>
      <c r="AG67" s="24">
        <f t="shared" si="9"/>
        <v>0</v>
      </c>
      <c r="AH67" s="24">
        <f t="shared" si="10"/>
        <v>0</v>
      </c>
      <c r="AI67" s="10" t="s">
        <v>46</v>
      </c>
      <c r="AJ67" s="24">
        <f t="shared" si="11"/>
        <v>0</v>
      </c>
      <c r="AK67" s="24">
        <f t="shared" si="12"/>
        <v>0</v>
      </c>
      <c r="AL67" s="24">
        <f t="shared" si="13"/>
        <v>0</v>
      </c>
      <c r="AN67" s="24">
        <v>12</v>
      </c>
      <c r="AO67" s="24">
        <f t="shared" si="14"/>
        <v>0</v>
      </c>
      <c r="AP67" s="24">
        <f t="shared" si="15"/>
        <v>0</v>
      </c>
      <c r="AQ67" s="26" t="s">
        <v>205</v>
      </c>
      <c r="AV67" s="24">
        <f t="shared" si="16"/>
        <v>0</v>
      </c>
      <c r="AW67" s="24">
        <f t="shared" si="17"/>
        <v>0</v>
      </c>
      <c r="AX67" s="24">
        <f t="shared" si="18"/>
        <v>0</v>
      </c>
      <c r="AY67" s="26" t="s">
        <v>206</v>
      </c>
      <c r="AZ67" s="26" t="s">
        <v>207</v>
      </c>
      <c r="BA67" s="10" t="s">
        <v>56</v>
      </c>
      <c r="BC67" s="24">
        <f t="shared" si="19"/>
        <v>0</v>
      </c>
      <c r="BD67" s="24">
        <f t="shared" si="20"/>
        <v>0</v>
      </c>
      <c r="BE67" s="24">
        <v>0</v>
      </c>
      <c r="BF67" s="24">
        <f>67</f>
        <v>67</v>
      </c>
      <c r="BH67" s="24">
        <f t="shared" si="21"/>
        <v>0</v>
      </c>
      <c r="BI67" s="24">
        <f t="shared" si="22"/>
        <v>0</v>
      </c>
      <c r="BJ67" s="24">
        <f t="shared" si="23"/>
        <v>0</v>
      </c>
      <c r="BK67" s="24"/>
      <c r="BL67" s="24"/>
      <c r="BW67" s="24">
        <v>12</v>
      </c>
      <c r="BX67" s="4" t="s">
        <v>225</v>
      </c>
    </row>
    <row r="68" spans="1:76" x14ac:dyDescent="0.25">
      <c r="H68" s="67" t="s">
        <v>226</v>
      </c>
      <c r="I68" s="67"/>
      <c r="J68" s="36">
        <f>ROUND(J12+J16+J19+J23+J26+J28+J30+J32+J36+J39+J41+J43+J47+J53+J55+J57+J60,2)</f>
        <v>0</v>
      </c>
    </row>
    <row r="69" spans="1:76" x14ac:dyDescent="0.25"/>
    <row r="70" spans="1:76" ht="12.75" customHeight="1" x14ac:dyDescent="0.25">
      <c r="A70" s="63" t="s">
        <v>46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76" ht="15" customHeight="1" x14ac:dyDescent="0.25">
      <c r="B71" s="61" t="s">
        <v>283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76" ht="15" customHeight="1" x14ac:dyDescent="0.25">
      <c r="B72" t="s">
        <v>284</v>
      </c>
      <c r="E72" t="s">
        <v>139</v>
      </c>
      <c r="F72">
        <v>12</v>
      </c>
      <c r="G72">
        <v>0</v>
      </c>
      <c r="J72">
        <f>F72*G72</f>
        <v>0</v>
      </c>
    </row>
    <row r="73" spans="1:76" ht="15" customHeight="1" x14ac:dyDescent="0.25">
      <c r="B73" t="s">
        <v>285</v>
      </c>
      <c r="E73" s="60" t="s">
        <v>286</v>
      </c>
      <c r="F73">
        <v>1</v>
      </c>
      <c r="G73">
        <v>0</v>
      </c>
      <c r="J73">
        <f t="shared" ref="J73:J74" si="24">F73*G73</f>
        <v>0</v>
      </c>
    </row>
    <row r="74" spans="1:76" ht="15" customHeight="1" x14ac:dyDescent="0.25">
      <c r="B74" t="s">
        <v>287</v>
      </c>
      <c r="E74" s="60" t="s">
        <v>286</v>
      </c>
      <c r="F74">
        <v>1</v>
      </c>
      <c r="G74">
        <v>0</v>
      </c>
      <c r="J74">
        <f t="shared" si="24"/>
        <v>0</v>
      </c>
    </row>
    <row r="77" spans="1:76" ht="15" customHeight="1" x14ac:dyDescent="0.25">
      <c r="A77" s="37" t="s">
        <v>227</v>
      </c>
    </row>
  </sheetData>
  <mergeCells count="87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B71:L71"/>
    <mergeCell ref="C65:D65"/>
    <mergeCell ref="C66:D66"/>
    <mergeCell ref="C67:D67"/>
    <mergeCell ref="H68:I68"/>
    <mergeCell ref="A70:K70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9" t="s">
        <v>228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5" t="s">
        <v>1</v>
      </c>
      <c r="B2" s="77"/>
      <c r="C2" s="90" t="str">
        <f>'Stavební rozpočet'!C2</f>
        <v>PS_rekonstrukce kanalizace a komunikace - sever</v>
      </c>
      <c r="D2" s="91"/>
      <c r="E2" s="89" t="s">
        <v>5</v>
      </c>
      <c r="F2" s="89" t="str">
        <f>'Stavební rozpočet'!I2</f>
        <v> </v>
      </c>
      <c r="G2" s="77"/>
      <c r="H2" s="89" t="s">
        <v>229</v>
      </c>
      <c r="I2" s="78" t="s">
        <v>46</v>
      </c>
    </row>
    <row r="3" spans="1:9" ht="15" customHeight="1" x14ac:dyDescent="0.25">
      <c r="A3" s="86"/>
      <c r="B3" s="64"/>
      <c r="C3" s="92"/>
      <c r="D3" s="92"/>
      <c r="E3" s="64"/>
      <c r="F3" s="64"/>
      <c r="G3" s="64"/>
      <c r="H3" s="64"/>
      <c r="I3" s="79"/>
    </row>
    <row r="4" spans="1:9" x14ac:dyDescent="0.25">
      <c r="A4" s="87" t="s">
        <v>7</v>
      </c>
      <c r="B4" s="64"/>
      <c r="C4" s="63" t="str">
        <f>'Stavební rozpočet'!C4</f>
        <v xml:space="preserve"> </v>
      </c>
      <c r="D4" s="64"/>
      <c r="E4" s="63" t="s">
        <v>10</v>
      </c>
      <c r="F4" s="63" t="str">
        <f>'Stavební rozpočet'!I4</f>
        <v> </v>
      </c>
      <c r="G4" s="64"/>
      <c r="H4" s="63" t="s">
        <v>229</v>
      </c>
      <c r="I4" s="79" t="s">
        <v>46</v>
      </c>
    </row>
    <row r="5" spans="1:9" ht="15" customHeight="1" x14ac:dyDescent="0.25">
      <c r="A5" s="86"/>
      <c r="B5" s="64"/>
      <c r="C5" s="64"/>
      <c r="D5" s="64"/>
      <c r="E5" s="64"/>
      <c r="F5" s="64"/>
      <c r="G5" s="64"/>
      <c r="H5" s="64"/>
      <c r="I5" s="79"/>
    </row>
    <row r="6" spans="1:9" x14ac:dyDescent="0.25">
      <c r="A6" s="87" t="s">
        <v>11</v>
      </c>
      <c r="B6" s="64"/>
      <c r="C6" s="63" t="str">
        <f>'Stavební rozpočet'!C6</f>
        <v xml:space="preserve"> </v>
      </c>
      <c r="D6" s="64"/>
      <c r="E6" s="63" t="s">
        <v>13</v>
      </c>
      <c r="F6" s="63" t="str">
        <f>'Stavební rozpočet'!I6</f>
        <v> </v>
      </c>
      <c r="G6" s="64"/>
      <c r="H6" s="63" t="s">
        <v>229</v>
      </c>
      <c r="I6" s="79" t="s">
        <v>46</v>
      </c>
    </row>
    <row r="7" spans="1:9" ht="15" customHeight="1" x14ac:dyDescent="0.25">
      <c r="A7" s="86"/>
      <c r="B7" s="64"/>
      <c r="C7" s="64"/>
      <c r="D7" s="64"/>
      <c r="E7" s="64"/>
      <c r="F7" s="64"/>
      <c r="G7" s="64"/>
      <c r="H7" s="64"/>
      <c r="I7" s="79"/>
    </row>
    <row r="8" spans="1:9" x14ac:dyDescent="0.25">
      <c r="A8" s="87" t="s">
        <v>8</v>
      </c>
      <c r="B8" s="64"/>
      <c r="C8" s="63">
        <f>'Stavební rozpočet'!G4</f>
        <v>0</v>
      </c>
      <c r="D8" s="64"/>
      <c r="E8" s="63" t="s">
        <v>12</v>
      </c>
      <c r="F8" s="63" t="str">
        <f>'Stavební rozpočet'!G6</f>
        <v xml:space="preserve"> </v>
      </c>
      <c r="G8" s="64"/>
      <c r="H8" s="64" t="s">
        <v>230</v>
      </c>
      <c r="I8" s="130">
        <v>39</v>
      </c>
    </row>
    <row r="9" spans="1:9" x14ac:dyDescent="0.25">
      <c r="A9" s="86"/>
      <c r="B9" s="64"/>
      <c r="C9" s="64"/>
      <c r="D9" s="64"/>
      <c r="E9" s="64"/>
      <c r="F9" s="64"/>
      <c r="G9" s="64"/>
      <c r="H9" s="64"/>
      <c r="I9" s="79"/>
    </row>
    <row r="10" spans="1:9" x14ac:dyDescent="0.25">
      <c r="A10" s="87" t="s">
        <v>14</v>
      </c>
      <c r="B10" s="64"/>
      <c r="C10" s="63" t="str">
        <f>'Stavební rozpočet'!C8</f>
        <v xml:space="preserve"> </v>
      </c>
      <c r="D10" s="64"/>
      <c r="E10" s="63" t="s">
        <v>16</v>
      </c>
      <c r="F10" s="63" t="str">
        <f>'Stavební rozpočet'!I8</f>
        <v> </v>
      </c>
      <c r="G10" s="64"/>
      <c r="H10" s="64" t="s">
        <v>231</v>
      </c>
      <c r="I10" s="123" t="str">
        <f>'Stavební rozpočet'!G8</f>
        <v>04.08.2025</v>
      </c>
    </row>
    <row r="11" spans="1:9" x14ac:dyDescent="0.25">
      <c r="A11" s="128"/>
      <c r="B11" s="66"/>
      <c r="C11" s="66"/>
      <c r="D11" s="66"/>
      <c r="E11" s="66"/>
      <c r="F11" s="66"/>
      <c r="G11" s="66"/>
      <c r="H11" s="66"/>
      <c r="I11" s="124"/>
    </row>
    <row r="12" spans="1:9" ht="23.25" x14ac:dyDescent="0.25">
      <c r="A12" s="125" t="s">
        <v>232</v>
      </c>
      <c r="B12" s="125"/>
      <c r="C12" s="125"/>
      <c r="D12" s="125"/>
      <c r="E12" s="125"/>
      <c r="F12" s="125"/>
      <c r="G12" s="125"/>
      <c r="H12" s="125"/>
      <c r="I12" s="125"/>
    </row>
    <row r="13" spans="1:9" ht="26.25" customHeight="1" x14ac:dyDescent="0.25">
      <c r="A13" s="38" t="s">
        <v>233</v>
      </c>
      <c r="B13" s="126" t="s">
        <v>234</v>
      </c>
      <c r="C13" s="127"/>
      <c r="D13" s="39" t="s">
        <v>235</v>
      </c>
      <c r="E13" s="126" t="s">
        <v>236</v>
      </c>
      <c r="F13" s="127"/>
      <c r="G13" s="39" t="s">
        <v>237</v>
      </c>
      <c r="H13" s="126" t="s">
        <v>238</v>
      </c>
      <c r="I13" s="127"/>
    </row>
    <row r="14" spans="1:9" ht="15.75" x14ac:dyDescent="0.25">
      <c r="A14" s="40" t="s">
        <v>239</v>
      </c>
      <c r="B14" s="41" t="s">
        <v>240</v>
      </c>
      <c r="C14" s="42">
        <f>SUM('Stavební rozpočet'!AB12:AB67)</f>
        <v>0</v>
      </c>
      <c r="D14" s="113" t="s">
        <v>241</v>
      </c>
      <c r="E14" s="114"/>
      <c r="F14" s="42">
        <f>VORN!I15</f>
        <v>0</v>
      </c>
      <c r="G14" s="113" t="s">
        <v>242</v>
      </c>
      <c r="H14" s="114"/>
      <c r="I14" s="43">
        <f>VORN!I21</f>
        <v>0</v>
      </c>
    </row>
    <row r="15" spans="1:9" ht="15.75" x14ac:dyDescent="0.25">
      <c r="A15" s="44" t="s">
        <v>46</v>
      </c>
      <c r="B15" s="41" t="s">
        <v>31</v>
      </c>
      <c r="C15" s="42">
        <f>SUM('Stavební rozpočet'!AC12:AC67)</f>
        <v>0</v>
      </c>
      <c r="D15" s="113" t="s">
        <v>243</v>
      </c>
      <c r="E15" s="114"/>
      <c r="F15" s="42">
        <f>VORN!I16</f>
        <v>0</v>
      </c>
      <c r="G15" s="113" t="s">
        <v>244</v>
      </c>
      <c r="H15" s="114"/>
      <c r="I15" s="43">
        <f>VORN!I22</f>
        <v>0</v>
      </c>
    </row>
    <row r="16" spans="1:9" ht="15.75" x14ac:dyDescent="0.25">
      <c r="A16" s="40" t="s">
        <v>245</v>
      </c>
      <c r="B16" s="41" t="s">
        <v>240</v>
      </c>
      <c r="C16" s="42">
        <f>SUM('Stavební rozpočet'!AD12:AD67)</f>
        <v>0</v>
      </c>
      <c r="D16" s="113" t="s">
        <v>246</v>
      </c>
      <c r="E16" s="114"/>
      <c r="F16" s="42">
        <f>VORN!I17</f>
        <v>0</v>
      </c>
      <c r="G16" s="113" t="s">
        <v>247</v>
      </c>
      <c r="H16" s="114"/>
      <c r="I16" s="43">
        <f>VORN!I23</f>
        <v>0</v>
      </c>
    </row>
    <row r="17" spans="1:9" ht="15.75" x14ac:dyDescent="0.25">
      <c r="A17" s="44" t="s">
        <v>46</v>
      </c>
      <c r="B17" s="41" t="s">
        <v>31</v>
      </c>
      <c r="C17" s="42">
        <f>SUM('Stavební rozpočet'!AE12:AE67)</f>
        <v>0</v>
      </c>
      <c r="D17" s="113" t="s">
        <v>46</v>
      </c>
      <c r="E17" s="114"/>
      <c r="F17" s="43" t="s">
        <v>46</v>
      </c>
      <c r="G17" s="113" t="s">
        <v>248</v>
      </c>
      <c r="H17" s="114"/>
      <c r="I17" s="43">
        <f>VORN!I24</f>
        <v>0</v>
      </c>
    </row>
    <row r="18" spans="1:9" ht="15.75" x14ac:dyDescent="0.25">
      <c r="A18" s="40" t="s">
        <v>249</v>
      </c>
      <c r="B18" s="41" t="s">
        <v>240</v>
      </c>
      <c r="C18" s="42">
        <f>SUM('Stavební rozpočet'!AF12:AF67)</f>
        <v>0</v>
      </c>
      <c r="D18" s="113" t="s">
        <v>46</v>
      </c>
      <c r="E18" s="114"/>
      <c r="F18" s="43" t="s">
        <v>46</v>
      </c>
      <c r="G18" s="113" t="s">
        <v>250</v>
      </c>
      <c r="H18" s="114"/>
      <c r="I18" s="43">
        <f>VORN!I25</f>
        <v>0</v>
      </c>
    </row>
    <row r="19" spans="1:9" ht="15.75" x14ac:dyDescent="0.25">
      <c r="A19" s="44" t="s">
        <v>46</v>
      </c>
      <c r="B19" s="41" t="s">
        <v>31</v>
      </c>
      <c r="C19" s="42">
        <f>SUM('Stavební rozpočet'!AG12:AG67)</f>
        <v>0</v>
      </c>
      <c r="D19" s="113" t="s">
        <v>46</v>
      </c>
      <c r="E19" s="114"/>
      <c r="F19" s="43" t="s">
        <v>46</v>
      </c>
      <c r="G19" s="113" t="s">
        <v>251</v>
      </c>
      <c r="H19" s="114"/>
      <c r="I19" s="43">
        <f>VORN!I26</f>
        <v>0</v>
      </c>
    </row>
    <row r="20" spans="1:9" ht="15.75" x14ac:dyDescent="0.25">
      <c r="A20" s="105" t="s">
        <v>201</v>
      </c>
      <c r="B20" s="106"/>
      <c r="C20" s="42">
        <f>SUM('Stavební rozpočet'!AH12:AH67)</f>
        <v>0</v>
      </c>
      <c r="D20" s="113" t="s">
        <v>46</v>
      </c>
      <c r="E20" s="114"/>
      <c r="F20" s="43" t="s">
        <v>46</v>
      </c>
      <c r="G20" s="113" t="s">
        <v>46</v>
      </c>
      <c r="H20" s="114"/>
      <c r="I20" s="43" t="s">
        <v>46</v>
      </c>
    </row>
    <row r="21" spans="1:9" ht="15.75" x14ac:dyDescent="0.25">
      <c r="A21" s="120" t="s">
        <v>252</v>
      </c>
      <c r="B21" s="121"/>
      <c r="C21" s="45">
        <f>SUM('Stavební rozpočet'!Z12:Z67)</f>
        <v>0</v>
      </c>
      <c r="D21" s="115" t="s">
        <v>46</v>
      </c>
      <c r="E21" s="116"/>
      <c r="F21" s="46" t="s">
        <v>46</v>
      </c>
      <c r="G21" s="115" t="s">
        <v>46</v>
      </c>
      <c r="H21" s="116"/>
      <c r="I21" s="46" t="s">
        <v>46</v>
      </c>
    </row>
    <row r="22" spans="1:9" ht="16.5" customHeight="1" x14ac:dyDescent="0.25">
      <c r="A22" s="122" t="s">
        <v>253</v>
      </c>
      <c r="B22" s="118"/>
      <c r="C22" s="47">
        <f>ROUND(SUM(C14:C21),2)</f>
        <v>0</v>
      </c>
      <c r="D22" s="117" t="s">
        <v>254</v>
      </c>
      <c r="E22" s="118"/>
      <c r="F22" s="47">
        <f>SUM(F14:F21)</f>
        <v>0</v>
      </c>
      <c r="G22" s="117" t="s">
        <v>255</v>
      </c>
      <c r="H22" s="118"/>
      <c r="I22" s="47">
        <f>SUM(I14:I21)</f>
        <v>0</v>
      </c>
    </row>
    <row r="23" spans="1:9" ht="15.75" x14ac:dyDescent="0.25">
      <c r="D23" s="105" t="s">
        <v>256</v>
      </c>
      <c r="E23" s="106"/>
      <c r="F23" s="48">
        <v>0</v>
      </c>
      <c r="G23" s="119" t="s">
        <v>257</v>
      </c>
      <c r="H23" s="106"/>
      <c r="I23" s="42">
        <v>0</v>
      </c>
    </row>
    <row r="24" spans="1:9" ht="15.75" x14ac:dyDescent="0.25">
      <c r="G24" s="105" t="s">
        <v>258</v>
      </c>
      <c r="H24" s="106"/>
      <c r="I24" s="45">
        <f>vorn_sum</f>
        <v>0</v>
      </c>
    </row>
    <row r="25" spans="1:9" ht="15.75" x14ac:dyDescent="0.25">
      <c r="G25" s="105" t="s">
        <v>259</v>
      </c>
      <c r="H25" s="106"/>
      <c r="I25" s="47">
        <v>0</v>
      </c>
    </row>
    <row r="27" spans="1:9" ht="15.75" x14ac:dyDescent="0.25">
      <c r="A27" s="107" t="s">
        <v>260</v>
      </c>
      <c r="B27" s="108"/>
      <c r="C27" s="49">
        <f>ROUND(SUM('Stavební rozpočet'!AJ12:AJ67),2)</f>
        <v>0</v>
      </c>
    </row>
    <row r="28" spans="1:9" ht="15.75" x14ac:dyDescent="0.25">
      <c r="A28" s="109" t="s">
        <v>261</v>
      </c>
      <c r="B28" s="110"/>
      <c r="C28" s="50">
        <f>ROUND(SUM('Stavební rozpočet'!AK12:AK67)+(F22+I22+F23+I23+I24+I25),2)</f>
        <v>0</v>
      </c>
      <c r="D28" s="111" t="s">
        <v>262</v>
      </c>
      <c r="E28" s="108"/>
      <c r="F28" s="49">
        <f>ROUND(C28*(12/100),2)</f>
        <v>0</v>
      </c>
      <c r="G28" s="111" t="s">
        <v>263</v>
      </c>
      <c r="H28" s="108"/>
      <c r="I28" s="49">
        <f>ROUND(SUM(C27:C29),2)</f>
        <v>0</v>
      </c>
    </row>
    <row r="29" spans="1:9" ht="15.75" x14ac:dyDescent="0.25">
      <c r="A29" s="109" t="s">
        <v>264</v>
      </c>
      <c r="B29" s="110"/>
      <c r="C29" s="50">
        <f>ROUND(SUM('Stavební rozpočet'!AL12:AL67),2)</f>
        <v>0</v>
      </c>
      <c r="D29" s="112" t="s">
        <v>265</v>
      </c>
      <c r="E29" s="110"/>
      <c r="F29" s="50">
        <f>ROUND(C29*(21/100),2)</f>
        <v>0</v>
      </c>
      <c r="G29" s="112" t="s">
        <v>266</v>
      </c>
      <c r="H29" s="110"/>
      <c r="I29" s="50">
        <f>ROUND(SUM(F28:F29)+I28,2)</f>
        <v>0</v>
      </c>
    </row>
    <row r="31" spans="1:9" x14ac:dyDescent="0.25">
      <c r="A31" s="102" t="s">
        <v>267</v>
      </c>
      <c r="B31" s="94"/>
      <c r="C31" s="95"/>
      <c r="D31" s="93" t="s">
        <v>268</v>
      </c>
      <c r="E31" s="94"/>
      <c r="F31" s="95"/>
      <c r="G31" s="93" t="s">
        <v>269</v>
      </c>
      <c r="H31" s="94"/>
      <c r="I31" s="95"/>
    </row>
    <row r="32" spans="1:9" x14ac:dyDescent="0.25">
      <c r="A32" s="103" t="s">
        <v>46</v>
      </c>
      <c r="B32" s="97"/>
      <c r="C32" s="98"/>
      <c r="D32" s="96" t="s">
        <v>46</v>
      </c>
      <c r="E32" s="97"/>
      <c r="F32" s="98"/>
      <c r="G32" s="96" t="s">
        <v>46</v>
      </c>
      <c r="H32" s="97"/>
      <c r="I32" s="98"/>
    </row>
    <row r="33" spans="1:9" x14ac:dyDescent="0.25">
      <c r="A33" s="103" t="s">
        <v>46</v>
      </c>
      <c r="B33" s="97"/>
      <c r="C33" s="98"/>
      <c r="D33" s="96" t="s">
        <v>46</v>
      </c>
      <c r="E33" s="97"/>
      <c r="F33" s="98"/>
      <c r="G33" s="96" t="s">
        <v>46</v>
      </c>
      <c r="H33" s="97"/>
      <c r="I33" s="98"/>
    </row>
    <row r="34" spans="1:9" x14ac:dyDescent="0.25">
      <c r="A34" s="103" t="s">
        <v>46</v>
      </c>
      <c r="B34" s="97"/>
      <c r="C34" s="98"/>
      <c r="D34" s="96" t="s">
        <v>46</v>
      </c>
      <c r="E34" s="97"/>
      <c r="F34" s="98"/>
      <c r="G34" s="96" t="s">
        <v>46</v>
      </c>
      <c r="H34" s="97"/>
      <c r="I34" s="98"/>
    </row>
    <row r="35" spans="1:9" x14ac:dyDescent="0.25">
      <c r="A35" s="104" t="s">
        <v>270</v>
      </c>
      <c r="B35" s="100"/>
      <c r="C35" s="101"/>
      <c r="D35" s="99" t="s">
        <v>270</v>
      </c>
      <c r="E35" s="100"/>
      <c r="F35" s="101"/>
      <c r="G35" s="99" t="s">
        <v>270</v>
      </c>
      <c r="H35" s="100"/>
      <c r="I35" s="101"/>
    </row>
    <row r="36" spans="1:9" x14ac:dyDescent="0.25">
      <c r="A36" s="51" t="s">
        <v>227</v>
      </c>
    </row>
    <row r="37" spans="1:9" ht="12.75" customHeight="1" x14ac:dyDescent="0.25">
      <c r="A37" s="63" t="s">
        <v>46</v>
      </c>
      <c r="B37" s="64"/>
      <c r="C37" s="64"/>
      <c r="D37" s="64"/>
      <c r="E37" s="64"/>
      <c r="F37" s="64"/>
      <c r="G37" s="64"/>
      <c r="H37" s="64"/>
      <c r="I37" s="64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abSelected="1"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9" t="s">
        <v>271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5" t="s">
        <v>1</v>
      </c>
      <c r="B2" s="77"/>
      <c r="C2" s="90" t="str">
        <f>'Stavební rozpočet'!C2</f>
        <v>PS_rekonstrukce kanalizace a komunikace - sever</v>
      </c>
      <c r="D2" s="91"/>
      <c r="E2" s="89" t="s">
        <v>5</v>
      </c>
      <c r="F2" s="89" t="str">
        <f>'Stavební rozpočet'!I2</f>
        <v> </v>
      </c>
      <c r="G2" s="77"/>
      <c r="H2" s="89" t="s">
        <v>229</v>
      </c>
      <c r="I2" s="78" t="s">
        <v>46</v>
      </c>
    </row>
    <row r="3" spans="1:9" ht="15" customHeight="1" x14ac:dyDescent="0.25">
      <c r="A3" s="86"/>
      <c r="B3" s="64"/>
      <c r="C3" s="92"/>
      <c r="D3" s="92"/>
      <c r="E3" s="64"/>
      <c r="F3" s="64"/>
      <c r="G3" s="64"/>
      <c r="H3" s="64"/>
      <c r="I3" s="79"/>
    </row>
    <row r="4" spans="1:9" x14ac:dyDescent="0.25">
      <c r="A4" s="87" t="s">
        <v>7</v>
      </c>
      <c r="B4" s="64"/>
      <c r="C4" s="63" t="str">
        <f>'Stavební rozpočet'!C4</f>
        <v xml:space="preserve"> </v>
      </c>
      <c r="D4" s="64"/>
      <c r="E4" s="63" t="s">
        <v>10</v>
      </c>
      <c r="F4" s="63" t="str">
        <f>'Stavební rozpočet'!I4</f>
        <v> </v>
      </c>
      <c r="G4" s="64"/>
      <c r="H4" s="63" t="s">
        <v>229</v>
      </c>
      <c r="I4" s="79" t="s">
        <v>46</v>
      </c>
    </row>
    <row r="5" spans="1:9" ht="15" customHeight="1" x14ac:dyDescent="0.25">
      <c r="A5" s="86"/>
      <c r="B5" s="64"/>
      <c r="C5" s="64"/>
      <c r="D5" s="64"/>
      <c r="E5" s="64"/>
      <c r="F5" s="64"/>
      <c r="G5" s="64"/>
      <c r="H5" s="64"/>
      <c r="I5" s="79"/>
    </row>
    <row r="6" spans="1:9" x14ac:dyDescent="0.25">
      <c r="A6" s="87" t="s">
        <v>11</v>
      </c>
      <c r="B6" s="64"/>
      <c r="C6" s="63" t="str">
        <f>'Stavební rozpočet'!C6</f>
        <v xml:space="preserve"> </v>
      </c>
      <c r="D6" s="64"/>
      <c r="E6" s="63" t="s">
        <v>13</v>
      </c>
      <c r="F6" s="63" t="str">
        <f>'Stavební rozpočet'!I6</f>
        <v> </v>
      </c>
      <c r="G6" s="64"/>
      <c r="H6" s="63" t="s">
        <v>229</v>
      </c>
      <c r="I6" s="79" t="s">
        <v>46</v>
      </c>
    </row>
    <row r="7" spans="1:9" ht="15" customHeight="1" x14ac:dyDescent="0.25">
      <c r="A7" s="86"/>
      <c r="B7" s="64"/>
      <c r="C7" s="64"/>
      <c r="D7" s="64"/>
      <c r="E7" s="64"/>
      <c r="F7" s="64"/>
      <c r="G7" s="64"/>
      <c r="H7" s="64"/>
      <c r="I7" s="79"/>
    </row>
    <row r="8" spans="1:9" x14ac:dyDescent="0.25">
      <c r="A8" s="87" t="s">
        <v>8</v>
      </c>
      <c r="B8" s="64"/>
      <c r="C8" s="63">
        <f>'Stavební rozpočet'!G4</f>
        <v>0</v>
      </c>
      <c r="D8" s="64"/>
      <c r="E8" s="63" t="s">
        <v>12</v>
      </c>
      <c r="F8" s="63" t="str">
        <f>'Stavební rozpočet'!G6</f>
        <v xml:space="preserve"> </v>
      </c>
      <c r="G8" s="64"/>
      <c r="H8" s="64" t="s">
        <v>230</v>
      </c>
      <c r="I8" s="130">
        <v>39</v>
      </c>
    </row>
    <row r="9" spans="1:9" x14ac:dyDescent="0.25">
      <c r="A9" s="86"/>
      <c r="B9" s="64"/>
      <c r="C9" s="64"/>
      <c r="D9" s="64"/>
      <c r="E9" s="64"/>
      <c r="F9" s="64"/>
      <c r="G9" s="64"/>
      <c r="H9" s="64"/>
      <c r="I9" s="79"/>
    </row>
    <row r="10" spans="1:9" x14ac:dyDescent="0.25">
      <c r="A10" s="87" t="s">
        <v>14</v>
      </c>
      <c r="B10" s="64"/>
      <c r="C10" s="63" t="str">
        <f>'Stavební rozpočet'!C8</f>
        <v xml:space="preserve"> </v>
      </c>
      <c r="D10" s="64"/>
      <c r="E10" s="63" t="s">
        <v>16</v>
      </c>
      <c r="F10" s="63" t="str">
        <f>'Stavební rozpočet'!I8</f>
        <v> </v>
      </c>
      <c r="G10" s="64"/>
      <c r="H10" s="64" t="s">
        <v>231</v>
      </c>
      <c r="I10" s="123" t="str">
        <f>'Stavební rozpočet'!G8</f>
        <v>04.08.2025</v>
      </c>
    </row>
    <row r="11" spans="1:9" x14ac:dyDescent="0.25">
      <c r="A11" s="128"/>
      <c r="B11" s="66"/>
      <c r="C11" s="66"/>
      <c r="D11" s="66"/>
      <c r="E11" s="66"/>
      <c r="F11" s="66"/>
      <c r="G11" s="66"/>
      <c r="H11" s="66"/>
      <c r="I11" s="124"/>
    </row>
    <row r="13" spans="1:9" ht="15.75" x14ac:dyDescent="0.25">
      <c r="A13" s="140" t="s">
        <v>272</v>
      </c>
      <c r="B13" s="140"/>
      <c r="C13" s="140"/>
      <c r="D13" s="140"/>
      <c r="E13" s="140"/>
    </row>
    <row r="14" spans="1:9" x14ac:dyDescent="0.25">
      <c r="A14" s="141" t="s">
        <v>273</v>
      </c>
      <c r="B14" s="142"/>
      <c r="C14" s="142"/>
      <c r="D14" s="142"/>
      <c r="E14" s="143"/>
      <c r="F14" s="52" t="s">
        <v>274</v>
      </c>
      <c r="G14" s="52" t="s">
        <v>275</v>
      </c>
      <c r="H14" s="52" t="s">
        <v>276</v>
      </c>
      <c r="I14" s="52" t="s">
        <v>274</v>
      </c>
    </row>
    <row r="15" spans="1:9" x14ac:dyDescent="0.25">
      <c r="A15" s="147" t="s">
        <v>241</v>
      </c>
      <c r="B15" s="148"/>
      <c r="C15" s="148"/>
      <c r="D15" s="148"/>
      <c r="E15" s="149"/>
      <c r="F15" s="53">
        <v>0</v>
      </c>
      <c r="G15" s="54" t="s">
        <v>46</v>
      </c>
      <c r="H15" s="54" t="s">
        <v>46</v>
      </c>
      <c r="I15" s="53">
        <f>F15</f>
        <v>0</v>
      </c>
    </row>
    <row r="16" spans="1:9" x14ac:dyDescent="0.25">
      <c r="A16" s="147" t="s">
        <v>243</v>
      </c>
      <c r="B16" s="148"/>
      <c r="C16" s="148"/>
      <c r="D16" s="148"/>
      <c r="E16" s="149"/>
      <c r="F16" s="53">
        <v>0</v>
      </c>
      <c r="G16" s="54" t="s">
        <v>46</v>
      </c>
      <c r="H16" s="54" t="s">
        <v>46</v>
      </c>
      <c r="I16" s="53">
        <f>F16</f>
        <v>0</v>
      </c>
    </row>
    <row r="17" spans="1:9" x14ac:dyDescent="0.25">
      <c r="A17" s="144" t="s">
        <v>246</v>
      </c>
      <c r="B17" s="145"/>
      <c r="C17" s="145"/>
      <c r="D17" s="145"/>
      <c r="E17" s="146"/>
      <c r="F17" s="55">
        <v>0</v>
      </c>
      <c r="G17" s="56" t="s">
        <v>46</v>
      </c>
      <c r="H17" s="56" t="s">
        <v>46</v>
      </c>
      <c r="I17" s="55">
        <f>F17</f>
        <v>0</v>
      </c>
    </row>
    <row r="18" spans="1:9" x14ac:dyDescent="0.25">
      <c r="A18" s="131" t="s">
        <v>277</v>
      </c>
      <c r="B18" s="132"/>
      <c r="C18" s="132"/>
      <c r="D18" s="132"/>
      <c r="E18" s="133"/>
      <c r="F18" s="57" t="s">
        <v>46</v>
      </c>
      <c r="G18" s="58" t="s">
        <v>46</v>
      </c>
      <c r="H18" s="58" t="s">
        <v>46</v>
      </c>
      <c r="I18" s="59">
        <f>SUM(I15:I17)</f>
        <v>0</v>
      </c>
    </row>
    <row r="20" spans="1:9" x14ac:dyDescent="0.25">
      <c r="A20" s="141" t="s">
        <v>238</v>
      </c>
      <c r="B20" s="142"/>
      <c r="C20" s="142"/>
      <c r="D20" s="142"/>
      <c r="E20" s="143"/>
      <c r="F20" s="52" t="s">
        <v>274</v>
      </c>
      <c r="G20" s="52" t="s">
        <v>275</v>
      </c>
      <c r="H20" s="52" t="s">
        <v>276</v>
      </c>
      <c r="I20" s="52" t="s">
        <v>274</v>
      </c>
    </row>
    <row r="21" spans="1:9" x14ac:dyDescent="0.25">
      <c r="A21" s="147" t="s">
        <v>242</v>
      </c>
      <c r="B21" s="148"/>
      <c r="C21" s="148"/>
      <c r="D21" s="148"/>
      <c r="E21" s="149"/>
      <c r="F21" s="53">
        <v>0</v>
      </c>
      <c r="G21" s="54" t="s">
        <v>46</v>
      </c>
      <c r="H21" s="54" t="s">
        <v>46</v>
      </c>
      <c r="I21" s="53">
        <f t="shared" ref="I21:I26" si="0">F21</f>
        <v>0</v>
      </c>
    </row>
    <row r="22" spans="1:9" x14ac:dyDescent="0.25">
      <c r="A22" s="147" t="s">
        <v>244</v>
      </c>
      <c r="B22" s="148"/>
      <c r="C22" s="148"/>
      <c r="D22" s="148"/>
      <c r="E22" s="149"/>
      <c r="F22" s="53">
        <v>0</v>
      </c>
      <c r="G22" s="54" t="s">
        <v>46</v>
      </c>
      <c r="H22" s="54" t="s">
        <v>46</v>
      </c>
      <c r="I22" s="53">
        <f t="shared" si="0"/>
        <v>0</v>
      </c>
    </row>
    <row r="23" spans="1:9" x14ac:dyDescent="0.25">
      <c r="A23" s="147" t="s">
        <v>247</v>
      </c>
      <c r="B23" s="148"/>
      <c r="C23" s="148"/>
      <c r="D23" s="148"/>
      <c r="E23" s="149"/>
      <c r="F23" s="53">
        <v>0</v>
      </c>
      <c r="G23" s="54" t="s">
        <v>46</v>
      </c>
      <c r="H23" s="54" t="s">
        <v>46</v>
      </c>
      <c r="I23" s="53">
        <f t="shared" si="0"/>
        <v>0</v>
      </c>
    </row>
    <row r="24" spans="1:9" x14ac:dyDescent="0.25">
      <c r="A24" s="147" t="s">
        <v>248</v>
      </c>
      <c r="B24" s="148"/>
      <c r="C24" s="148"/>
      <c r="D24" s="148"/>
      <c r="E24" s="149"/>
      <c r="F24" s="53">
        <v>0</v>
      </c>
      <c r="G24" s="54" t="s">
        <v>46</v>
      </c>
      <c r="H24" s="54" t="s">
        <v>46</v>
      </c>
      <c r="I24" s="53">
        <f t="shared" si="0"/>
        <v>0</v>
      </c>
    </row>
    <row r="25" spans="1:9" x14ac:dyDescent="0.25">
      <c r="A25" s="147" t="s">
        <v>250</v>
      </c>
      <c r="B25" s="148"/>
      <c r="C25" s="148"/>
      <c r="D25" s="148"/>
      <c r="E25" s="149"/>
      <c r="F25" s="53">
        <v>0</v>
      </c>
      <c r="G25" s="54" t="s">
        <v>46</v>
      </c>
      <c r="H25" s="54" t="s">
        <v>46</v>
      </c>
      <c r="I25" s="53">
        <f t="shared" si="0"/>
        <v>0</v>
      </c>
    </row>
    <row r="26" spans="1:9" x14ac:dyDescent="0.25">
      <c r="A26" s="144" t="s">
        <v>251</v>
      </c>
      <c r="B26" s="145"/>
      <c r="C26" s="145"/>
      <c r="D26" s="145"/>
      <c r="E26" s="146"/>
      <c r="F26" s="55">
        <v>0</v>
      </c>
      <c r="G26" s="56" t="s">
        <v>46</v>
      </c>
      <c r="H26" s="56" t="s">
        <v>46</v>
      </c>
      <c r="I26" s="55">
        <f t="shared" si="0"/>
        <v>0</v>
      </c>
    </row>
    <row r="27" spans="1:9" x14ac:dyDescent="0.25">
      <c r="A27" s="131" t="s">
        <v>278</v>
      </c>
      <c r="B27" s="132"/>
      <c r="C27" s="132"/>
      <c r="D27" s="132"/>
      <c r="E27" s="133"/>
      <c r="F27" s="57" t="s">
        <v>46</v>
      </c>
      <c r="G27" s="58" t="s">
        <v>46</v>
      </c>
      <c r="H27" s="58" t="s">
        <v>46</v>
      </c>
      <c r="I27" s="59">
        <f>SUM(I21:I26)</f>
        <v>0</v>
      </c>
    </row>
    <row r="29" spans="1:9" ht="15.75" x14ac:dyDescent="0.25">
      <c r="A29" s="134" t="s">
        <v>279</v>
      </c>
      <c r="B29" s="135"/>
      <c r="C29" s="135"/>
      <c r="D29" s="135"/>
      <c r="E29" s="136"/>
      <c r="F29" s="137">
        <f>I18+I27</f>
        <v>0</v>
      </c>
      <c r="G29" s="138"/>
      <c r="H29" s="138"/>
      <c r="I29" s="139"/>
    </row>
    <row r="33" spans="1:9" ht="15.75" x14ac:dyDescent="0.25">
      <c r="A33" s="140" t="s">
        <v>280</v>
      </c>
      <c r="B33" s="140"/>
      <c r="C33" s="140"/>
      <c r="D33" s="140"/>
      <c r="E33" s="140"/>
    </row>
    <row r="34" spans="1:9" x14ac:dyDescent="0.25">
      <c r="A34" s="141" t="s">
        <v>281</v>
      </c>
      <c r="B34" s="142"/>
      <c r="C34" s="142"/>
      <c r="D34" s="142"/>
      <c r="E34" s="143"/>
      <c r="F34" s="52" t="s">
        <v>274</v>
      </c>
      <c r="G34" s="52" t="s">
        <v>275</v>
      </c>
      <c r="H34" s="52" t="s">
        <v>276</v>
      </c>
      <c r="I34" s="52" t="s">
        <v>274</v>
      </c>
    </row>
    <row r="35" spans="1:9" x14ac:dyDescent="0.25">
      <c r="A35" s="144" t="s">
        <v>46</v>
      </c>
      <c r="B35" s="145"/>
      <c r="C35" s="145"/>
      <c r="D35" s="145"/>
      <c r="E35" s="146"/>
      <c r="F35" s="55">
        <v>0</v>
      </c>
      <c r="G35" s="56" t="s">
        <v>46</v>
      </c>
      <c r="H35" s="56" t="s">
        <v>46</v>
      </c>
      <c r="I35" s="55">
        <f>F35</f>
        <v>0</v>
      </c>
    </row>
    <row r="36" spans="1:9" x14ac:dyDescent="0.25">
      <c r="A36" s="131" t="s">
        <v>282</v>
      </c>
      <c r="B36" s="132"/>
      <c r="C36" s="132"/>
      <c r="D36" s="132"/>
      <c r="E36" s="133"/>
      <c r="F36" s="57" t="s">
        <v>46</v>
      </c>
      <c r="G36" s="58" t="s">
        <v>46</v>
      </c>
      <c r="H36" s="58" t="s">
        <v>46</v>
      </c>
      <c r="I36" s="59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Petr Kahoun</cp:lastModifiedBy>
  <dcterms:created xsi:type="dcterms:W3CDTF">2021-06-10T20:06:38Z</dcterms:created>
  <dcterms:modified xsi:type="dcterms:W3CDTF">2025-08-07T10:10:34Z</dcterms:modified>
</cp:coreProperties>
</file>